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autoCompressPictures="0"/>
  <bookViews>
    <workbookView xWindow="0" yWindow="0" windowWidth="15600" windowHeight="11760"/>
  </bookViews>
  <sheets>
    <sheet name="花模様年間カレンダ" sheetId="6" r:id="rId1"/>
    <sheet name="祝祭日" sheetId="7" state="hidden" r:id="rId2"/>
  </sheets>
  <definedNames>
    <definedName name="AprSun1">DATE(CalendarYear,4,1)-WEEKDAY(DATE(CalendarYear,4,1))+1</definedName>
    <definedName name="AugSun1">DATE(CalendarYear,8,1)-WEEKDAY(DATE(CalendarYear,8,1))+1</definedName>
    <definedName name="CalendarYear">花模様年間カレンダ!$Q$2</definedName>
    <definedName name="DecSun1">DATE(CalendarYear,12,1)-WEEKDAY(DATE(CalendarYear,12,1))+1</definedName>
    <definedName name="FebSun1">DATE(CalendarYear,2,1)-WEEKDAY(DATE(CalendarYear,2,1))+1</definedName>
    <definedName name="JanSun1">DATE(CalendarYear,1,1)-WEEKDAY(DATE(CalendarYear,1,1))+1</definedName>
    <definedName name="JulSun1">DATE(CalendarYear,7,1)-WEEKDAY(DATE(CalendarYear,7,1))+1</definedName>
    <definedName name="JunSun1">DATE(CalendarYear,6,1)-WEEKDAY(DATE(CalendarYear,6,1))+1</definedName>
    <definedName name="MarSun1">DATE(CalendarYear,3,1)-WEEKDAY(DATE(CalendarYear,3,1))+1</definedName>
    <definedName name="MaySun1">DATE(CalendarYear,5,1)-WEEKDAY(DATE(CalendarYear,5,1))+1</definedName>
    <definedName name="NovSun1">DATE(CalendarYear,11,1)-WEEKDAY(DATE(CalendarYear,11,1))+1</definedName>
    <definedName name="OctSun1">DATE(CalendarYear,10,1)-WEEKDAY(DATE(CalendarYear,10,1))+1</definedName>
    <definedName name="_xlnm.Print_Area" localSheetId="0">花模様年間カレンダ!$A$1:$Q$69</definedName>
    <definedName name="SepSun1">DATE(CalendarYear,9,1)-WEEKDAY(DATE(CalendarYear,9,1))+1</definedName>
    <definedName name="祝祭日">祝祭日!$B$3:$C$26</definedName>
  </definedNames>
  <calcPr calcId="125725"/>
</workbook>
</file>

<file path=xl/calcChain.xml><?xml version="1.0" encoding="utf-8"?>
<calcChain xmlns="http://schemas.openxmlformats.org/spreadsheetml/2006/main">
  <c r="D5" i="6"/>
  <c r="E5"/>
  <c r="F5"/>
  <c r="G5"/>
  <c r="H5"/>
  <c r="I5"/>
  <c r="J5"/>
  <c r="U59"/>
  <c r="J59"/>
  <c r="U49"/>
  <c r="J49"/>
  <c r="U39"/>
  <c r="J39"/>
  <c r="U29"/>
  <c r="J29"/>
  <c r="U19"/>
  <c r="J19"/>
  <c r="J9"/>
  <c r="U9"/>
  <c r="U60"/>
  <c r="T60"/>
  <c r="S60"/>
  <c r="R60"/>
  <c r="Q60"/>
  <c r="P60"/>
  <c r="O60"/>
  <c r="T59"/>
  <c r="S59"/>
  <c r="R59"/>
  <c r="Q59"/>
  <c r="P59"/>
  <c r="O59"/>
  <c r="U58"/>
  <c r="T58"/>
  <c r="S58"/>
  <c r="R58"/>
  <c r="Q58"/>
  <c r="P58"/>
  <c r="O58"/>
  <c r="U57"/>
  <c r="T57"/>
  <c r="S57"/>
  <c r="R57"/>
  <c r="Q57"/>
  <c r="P57"/>
  <c r="O57"/>
  <c r="U56"/>
  <c r="T56"/>
  <c r="S56"/>
  <c r="R56"/>
  <c r="Q56"/>
  <c r="P56"/>
  <c r="O56"/>
  <c r="U55"/>
  <c r="T55"/>
  <c r="S55"/>
  <c r="R55"/>
  <c r="Q55"/>
  <c r="P55"/>
  <c r="O55"/>
  <c r="J60"/>
  <c r="I60"/>
  <c r="H60"/>
  <c r="G60"/>
  <c r="F60"/>
  <c r="E60"/>
  <c r="D60"/>
  <c r="I59"/>
  <c r="H59"/>
  <c r="G59"/>
  <c r="F59"/>
  <c r="E59"/>
  <c r="D59"/>
  <c r="J58"/>
  <c r="I58"/>
  <c r="H58"/>
  <c r="G58"/>
  <c r="F58"/>
  <c r="E58"/>
  <c r="D58"/>
  <c r="J57"/>
  <c r="I57"/>
  <c r="H57"/>
  <c r="G57"/>
  <c r="F57"/>
  <c r="E57"/>
  <c r="D57"/>
  <c r="J56"/>
  <c r="I56"/>
  <c r="H56"/>
  <c r="G56"/>
  <c r="F56"/>
  <c r="E56"/>
  <c r="D56"/>
  <c r="J55"/>
  <c r="I55"/>
  <c r="H55"/>
  <c r="G55"/>
  <c r="F55"/>
  <c r="E55"/>
  <c r="D55"/>
  <c r="U50"/>
  <c r="T50"/>
  <c r="S50"/>
  <c r="R50"/>
  <c r="Q50"/>
  <c r="P50"/>
  <c r="O50"/>
  <c r="T49"/>
  <c r="S49"/>
  <c r="R49"/>
  <c r="Q49"/>
  <c r="P49"/>
  <c r="O49"/>
  <c r="U48"/>
  <c r="T48"/>
  <c r="S48"/>
  <c r="R48"/>
  <c r="Q48"/>
  <c r="P48"/>
  <c r="O48"/>
  <c r="U47"/>
  <c r="T47"/>
  <c r="S47"/>
  <c r="R47"/>
  <c r="Q47"/>
  <c r="P47"/>
  <c r="O47"/>
  <c r="U46"/>
  <c r="T46"/>
  <c r="S46"/>
  <c r="R46"/>
  <c r="Q46"/>
  <c r="P46"/>
  <c r="O46"/>
  <c r="U45"/>
  <c r="T45"/>
  <c r="S45"/>
  <c r="R45"/>
  <c r="Q45"/>
  <c r="P45"/>
  <c r="O45"/>
  <c r="J50"/>
  <c r="I50"/>
  <c r="H50"/>
  <c r="G50"/>
  <c r="F50"/>
  <c r="E50"/>
  <c r="D50"/>
  <c r="I49"/>
  <c r="H49"/>
  <c r="G49"/>
  <c r="F49"/>
  <c r="E49"/>
  <c r="D49"/>
  <c r="J48"/>
  <c r="I48"/>
  <c r="H48"/>
  <c r="G48"/>
  <c r="F48"/>
  <c r="E48"/>
  <c r="D48"/>
  <c r="J47"/>
  <c r="I47"/>
  <c r="H47"/>
  <c r="G47"/>
  <c r="F47"/>
  <c r="E47"/>
  <c r="D47"/>
  <c r="J46"/>
  <c r="I46"/>
  <c r="H46"/>
  <c r="G46"/>
  <c r="F46"/>
  <c r="E46"/>
  <c r="D46"/>
  <c r="J45"/>
  <c r="I45"/>
  <c r="H45"/>
  <c r="G45"/>
  <c r="F45"/>
  <c r="E45"/>
  <c r="D45"/>
  <c r="U40"/>
  <c r="T40"/>
  <c r="S40"/>
  <c r="R40"/>
  <c r="Q40"/>
  <c r="P40"/>
  <c r="O40"/>
  <c r="T39"/>
  <c r="S39"/>
  <c r="R39"/>
  <c r="Q39"/>
  <c r="P39"/>
  <c r="O39"/>
  <c r="U38"/>
  <c r="T38"/>
  <c r="S38"/>
  <c r="R38"/>
  <c r="Q38"/>
  <c r="P38"/>
  <c r="O38"/>
  <c r="U37"/>
  <c r="T37"/>
  <c r="S37"/>
  <c r="R37"/>
  <c r="Q37"/>
  <c r="P37"/>
  <c r="O37"/>
  <c r="U36"/>
  <c r="T36"/>
  <c r="S36"/>
  <c r="R36"/>
  <c r="Q36"/>
  <c r="P36"/>
  <c r="O36"/>
  <c r="U35"/>
  <c r="T35"/>
  <c r="S35"/>
  <c r="R35"/>
  <c r="Q35"/>
  <c r="P35"/>
  <c r="O35"/>
  <c r="J40"/>
  <c r="I40"/>
  <c r="H40"/>
  <c r="G40"/>
  <c r="F40"/>
  <c r="E40"/>
  <c r="D40"/>
  <c r="I39"/>
  <c r="H39"/>
  <c r="G39"/>
  <c r="F39"/>
  <c r="E39"/>
  <c r="D39"/>
  <c r="J38"/>
  <c r="I38"/>
  <c r="H38"/>
  <c r="G38"/>
  <c r="F38"/>
  <c r="E38"/>
  <c r="D38"/>
  <c r="J37"/>
  <c r="I37"/>
  <c r="H37"/>
  <c r="G37"/>
  <c r="F37"/>
  <c r="E37"/>
  <c r="D37"/>
  <c r="J36"/>
  <c r="I36"/>
  <c r="H36"/>
  <c r="G36"/>
  <c r="F36"/>
  <c r="E36"/>
  <c r="D36"/>
  <c r="J35"/>
  <c r="I35"/>
  <c r="H35"/>
  <c r="G35"/>
  <c r="F35"/>
  <c r="E35"/>
  <c r="D35"/>
  <c r="U30"/>
  <c r="T30"/>
  <c r="S30"/>
  <c r="R30"/>
  <c r="Q30"/>
  <c r="P30"/>
  <c r="O30"/>
  <c r="T29"/>
  <c r="S29"/>
  <c r="R29"/>
  <c r="Q29"/>
  <c r="P29"/>
  <c r="O29"/>
  <c r="U28"/>
  <c r="T28"/>
  <c r="S28"/>
  <c r="R28"/>
  <c r="Q28"/>
  <c r="P28"/>
  <c r="O28"/>
  <c r="U27"/>
  <c r="T27"/>
  <c r="S27"/>
  <c r="R27"/>
  <c r="Q27"/>
  <c r="P27"/>
  <c r="O27"/>
  <c r="U26"/>
  <c r="T26"/>
  <c r="S26"/>
  <c r="R26"/>
  <c r="Q26"/>
  <c r="P26"/>
  <c r="O26"/>
  <c r="U25"/>
  <c r="T25"/>
  <c r="S25"/>
  <c r="R25"/>
  <c r="Q25"/>
  <c r="P25"/>
  <c r="O25"/>
  <c r="J30"/>
  <c r="I30"/>
  <c r="H30"/>
  <c r="G30"/>
  <c r="F30"/>
  <c r="E30"/>
  <c r="D30"/>
  <c r="I29"/>
  <c r="H29"/>
  <c r="G29"/>
  <c r="F29"/>
  <c r="E29"/>
  <c r="D29"/>
  <c r="J28"/>
  <c r="I28"/>
  <c r="H28"/>
  <c r="G28"/>
  <c r="F28"/>
  <c r="E28"/>
  <c r="D28"/>
  <c r="J27"/>
  <c r="I27"/>
  <c r="H27"/>
  <c r="G27"/>
  <c r="F27"/>
  <c r="E27"/>
  <c r="D27"/>
  <c r="J26"/>
  <c r="I26"/>
  <c r="H26"/>
  <c r="G26"/>
  <c r="F26"/>
  <c r="E26"/>
  <c r="D26"/>
  <c r="J25"/>
  <c r="I25"/>
  <c r="H25"/>
  <c r="G25"/>
  <c r="F25"/>
  <c r="E25"/>
  <c r="D25"/>
  <c r="U20"/>
  <c r="T20"/>
  <c r="S20"/>
  <c r="R20"/>
  <c r="Q20"/>
  <c r="P20"/>
  <c r="O20"/>
  <c r="T19"/>
  <c r="S19"/>
  <c r="R19"/>
  <c r="Q19"/>
  <c r="P19"/>
  <c r="O19"/>
  <c r="U18"/>
  <c r="T18"/>
  <c r="S18"/>
  <c r="R18"/>
  <c r="Q18"/>
  <c r="P18"/>
  <c r="O18"/>
  <c r="U17"/>
  <c r="T17"/>
  <c r="S17"/>
  <c r="R17"/>
  <c r="Q17"/>
  <c r="P17"/>
  <c r="O17"/>
  <c r="U16"/>
  <c r="T16"/>
  <c r="S16"/>
  <c r="R16"/>
  <c r="Q16"/>
  <c r="P16"/>
  <c r="O16"/>
  <c r="U15"/>
  <c r="T15"/>
  <c r="S15"/>
  <c r="R15"/>
  <c r="Q15"/>
  <c r="P15"/>
  <c r="O15"/>
  <c r="J20"/>
  <c r="I20"/>
  <c r="H20"/>
  <c r="G20"/>
  <c r="F20"/>
  <c r="E20"/>
  <c r="D20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I16"/>
  <c r="H16"/>
  <c r="G16"/>
  <c r="F16"/>
  <c r="E16"/>
  <c r="D16"/>
  <c r="J15"/>
  <c r="I15"/>
  <c r="H15"/>
  <c r="G15"/>
  <c r="F15"/>
  <c r="E15"/>
  <c r="D15"/>
  <c r="U10"/>
  <c r="T10"/>
  <c r="S10"/>
  <c r="R10"/>
  <c r="Q10"/>
  <c r="P10"/>
  <c r="O10"/>
  <c r="T9"/>
  <c r="S9"/>
  <c r="R9"/>
  <c r="Q9"/>
  <c r="P9"/>
  <c r="O9"/>
  <c r="U8"/>
  <c r="T8"/>
  <c r="S8"/>
  <c r="R8"/>
  <c r="Q8"/>
  <c r="P8"/>
  <c r="O8"/>
  <c r="U7"/>
  <c r="T7"/>
  <c r="S7"/>
  <c r="R7"/>
  <c r="Q7"/>
  <c r="P7"/>
  <c r="O7"/>
  <c r="U6"/>
  <c r="T6"/>
  <c r="S6"/>
  <c r="R6"/>
  <c r="Q6"/>
  <c r="P6"/>
  <c r="O6"/>
  <c r="U5"/>
  <c r="T5"/>
  <c r="S5"/>
  <c r="R5"/>
  <c r="Q5"/>
  <c r="P5"/>
  <c r="O5"/>
  <c r="B2" i="7" l="1"/>
  <c r="B25" s="1"/>
  <c r="B26" s="1"/>
  <c r="J10" i="6"/>
  <c r="I10"/>
  <c r="H10"/>
  <c r="G10"/>
  <c r="F10"/>
  <c r="E10"/>
  <c r="D10"/>
  <c r="I9"/>
  <c r="H9"/>
  <c r="G9"/>
  <c r="F9"/>
  <c r="E9"/>
  <c r="D9"/>
  <c r="J8"/>
  <c r="I8"/>
  <c r="H8"/>
  <c r="G8"/>
  <c r="F8"/>
  <c r="E8"/>
  <c r="D8"/>
  <c r="J7"/>
  <c r="I7"/>
  <c r="H7"/>
  <c r="G7"/>
  <c r="F7"/>
  <c r="E7"/>
  <c r="D7"/>
  <c r="J6"/>
  <c r="I6"/>
  <c r="H6"/>
  <c r="G6"/>
  <c r="F6"/>
  <c r="E6"/>
  <c r="D6"/>
  <c r="B3" i="7" l="1"/>
  <c r="B4" s="1"/>
  <c r="B5"/>
  <c r="B13"/>
  <c r="B17"/>
  <c r="B20"/>
  <c r="B6"/>
  <c r="B7" s="1"/>
  <c r="B8"/>
  <c r="B9" s="1"/>
  <c r="B10"/>
  <c r="B11" s="1"/>
  <c r="B12"/>
  <c r="B14"/>
  <c r="B16"/>
  <c r="B19"/>
  <c r="B18" s="1"/>
  <c r="B21"/>
  <c r="B22" s="1"/>
  <c r="B23"/>
  <c r="B24" s="1"/>
  <c r="B15" l="1"/>
</calcChain>
</file>

<file path=xl/sharedStrings.xml><?xml version="1.0" encoding="utf-8"?>
<sst xmlns="http://schemas.openxmlformats.org/spreadsheetml/2006/main" count="116" uniqueCount="33">
  <si>
    <t>土</t>
  </si>
  <si>
    <t>万年暦用</t>
    <rPh sb="0" eb="2">
      <t>マンネン</t>
    </rPh>
    <rPh sb="2" eb="3">
      <t>レキ</t>
    </rPh>
    <rPh sb="3" eb="4">
      <t>ヨウ</t>
    </rPh>
    <phoneticPr fontId="19"/>
  </si>
  <si>
    <t>祝祭日</t>
    <rPh sb="0" eb="3">
      <t>シュクサイジツ</t>
    </rPh>
    <phoneticPr fontId="19"/>
  </si>
  <si>
    <t>元日</t>
    <rPh sb="0" eb="2">
      <t>ガンジツ</t>
    </rPh>
    <phoneticPr fontId="19"/>
  </si>
  <si>
    <t>振替休日</t>
  </si>
  <si>
    <t>成人の日</t>
    <rPh sb="0" eb="2">
      <t>セイジン</t>
    </rPh>
    <rPh sb="3" eb="4">
      <t>ヒ</t>
    </rPh>
    <phoneticPr fontId="19"/>
  </si>
  <si>
    <t>建国記念の日</t>
    <rPh sb="0" eb="2">
      <t>ケンコク</t>
    </rPh>
    <rPh sb="2" eb="4">
      <t>キネン</t>
    </rPh>
    <rPh sb="5" eb="6">
      <t>ヒ</t>
    </rPh>
    <phoneticPr fontId="19"/>
  </si>
  <si>
    <t>春分の日</t>
    <rPh sb="0" eb="2">
      <t>シュンブン</t>
    </rPh>
    <rPh sb="3" eb="4">
      <t>ヒ</t>
    </rPh>
    <phoneticPr fontId="19"/>
  </si>
  <si>
    <t>昭和の日</t>
    <rPh sb="0" eb="2">
      <t>ショウワ</t>
    </rPh>
    <rPh sb="3" eb="4">
      <t>ヒ</t>
    </rPh>
    <phoneticPr fontId="19"/>
  </si>
  <si>
    <t>憲法記念日</t>
    <rPh sb="0" eb="2">
      <t>ケンポウ</t>
    </rPh>
    <rPh sb="2" eb="5">
      <t>キネンビ</t>
    </rPh>
    <phoneticPr fontId="19"/>
  </si>
  <si>
    <t>みどりの日</t>
    <rPh sb="4" eb="5">
      <t>ヒ</t>
    </rPh>
    <phoneticPr fontId="19"/>
  </si>
  <si>
    <t>こどもの日</t>
    <rPh sb="4" eb="5">
      <t>ヒ</t>
    </rPh>
    <phoneticPr fontId="19"/>
  </si>
  <si>
    <t>海の日</t>
    <rPh sb="0" eb="1">
      <t>ウミ</t>
    </rPh>
    <rPh sb="2" eb="3">
      <t>ヒ</t>
    </rPh>
    <phoneticPr fontId="19"/>
  </si>
  <si>
    <t>敬老の日</t>
    <rPh sb="0" eb="2">
      <t>ケイロウ</t>
    </rPh>
    <rPh sb="3" eb="4">
      <t>ヒ</t>
    </rPh>
    <phoneticPr fontId="19"/>
  </si>
  <si>
    <t>国民の休日</t>
    <rPh sb="0" eb="2">
      <t>コクミン</t>
    </rPh>
    <rPh sb="3" eb="5">
      <t>キュウジツ</t>
    </rPh>
    <phoneticPr fontId="19"/>
  </si>
  <si>
    <t>秋分の日</t>
    <rPh sb="0" eb="2">
      <t>シュウブン</t>
    </rPh>
    <rPh sb="3" eb="4">
      <t>ヒ</t>
    </rPh>
    <phoneticPr fontId="19"/>
  </si>
  <si>
    <t>体育の日</t>
    <rPh sb="0" eb="2">
      <t>タイイク</t>
    </rPh>
    <rPh sb="3" eb="4">
      <t>ヒ</t>
    </rPh>
    <phoneticPr fontId="19"/>
  </si>
  <si>
    <t>文化の日</t>
    <rPh sb="0" eb="2">
      <t>ブンカ</t>
    </rPh>
    <rPh sb="3" eb="4">
      <t>ヒ</t>
    </rPh>
    <phoneticPr fontId="19"/>
  </si>
  <si>
    <t>勤労感謝の日</t>
    <rPh sb="0" eb="2">
      <t>キンロウ</t>
    </rPh>
    <rPh sb="2" eb="4">
      <t>カンシャ</t>
    </rPh>
    <rPh sb="5" eb="6">
      <t>ヒ</t>
    </rPh>
    <phoneticPr fontId="19"/>
  </si>
  <si>
    <t>天皇誕生日</t>
    <rPh sb="0" eb="2">
      <t>テンノウ</t>
    </rPh>
    <rPh sb="2" eb="5">
      <t>タンジョウビ</t>
    </rPh>
    <phoneticPr fontId="19"/>
  </si>
  <si>
    <t>１月第２月曜日</t>
    <rPh sb="1" eb="2">
      <t>ツキ</t>
    </rPh>
    <rPh sb="2" eb="3">
      <t>ダイ</t>
    </rPh>
    <rPh sb="4" eb="7">
      <t>ゲツヨウビ</t>
    </rPh>
    <phoneticPr fontId="19"/>
  </si>
  <si>
    <t>３月２１日前後</t>
    <rPh sb="1" eb="2">
      <t>ツキ</t>
    </rPh>
    <rPh sb="4" eb="5">
      <t>ヒ</t>
    </rPh>
    <rPh sb="5" eb="7">
      <t>ゼンゴ</t>
    </rPh>
    <phoneticPr fontId="19"/>
  </si>
  <si>
    <t>７月第３月曜日</t>
    <rPh sb="1" eb="2">
      <t>ツキ</t>
    </rPh>
    <rPh sb="2" eb="3">
      <t>ダイ</t>
    </rPh>
    <rPh sb="4" eb="7">
      <t>ゲツヨウビ</t>
    </rPh>
    <phoneticPr fontId="19"/>
  </si>
  <si>
    <t>９月第３月曜日</t>
    <rPh sb="1" eb="2">
      <t>ツキ</t>
    </rPh>
    <rPh sb="2" eb="3">
      <t>ダイ</t>
    </rPh>
    <rPh sb="4" eb="7">
      <t>ゲツヨウビ</t>
    </rPh>
    <phoneticPr fontId="19"/>
  </si>
  <si>
    <t>９月２３日前後</t>
    <rPh sb="1" eb="2">
      <t>ツキ</t>
    </rPh>
    <rPh sb="4" eb="5">
      <t>ヒ</t>
    </rPh>
    <rPh sb="5" eb="7">
      <t>ゼンゴ</t>
    </rPh>
    <phoneticPr fontId="19"/>
  </si>
  <si>
    <t>１０月第２月曜日</t>
    <rPh sb="2" eb="3">
      <t>ツキ</t>
    </rPh>
    <rPh sb="3" eb="4">
      <t>ダイ</t>
    </rPh>
    <rPh sb="5" eb="8">
      <t>ゲツヨウビ</t>
    </rPh>
    <phoneticPr fontId="19"/>
  </si>
  <si>
    <t>日</t>
    <phoneticPr fontId="24"/>
  </si>
  <si>
    <t>月</t>
    <phoneticPr fontId="24"/>
  </si>
  <si>
    <t>火</t>
    <phoneticPr fontId="24"/>
  </si>
  <si>
    <t>水</t>
    <phoneticPr fontId="24"/>
  </si>
  <si>
    <t>木</t>
    <phoneticPr fontId="24"/>
  </si>
  <si>
    <t>金</t>
    <phoneticPr fontId="24"/>
  </si>
  <si>
    <t>日</t>
    <phoneticPr fontId="24"/>
  </si>
</sst>
</file>

<file path=xl/styles.xml><?xml version="1.0" encoding="utf-8"?>
<styleSheet xmlns="http://schemas.openxmlformats.org/spreadsheetml/2006/main">
  <numFmts count="3">
    <numFmt numFmtId="176" formatCode="d"/>
    <numFmt numFmtId="177" formatCode="mmmm\ yyyy"/>
    <numFmt numFmtId="178" formatCode="mmmm"/>
  </numFmts>
  <fonts count="34">
    <font>
      <sz val="12"/>
      <color theme="1"/>
      <name val="Cambria"/>
      <family val="2"/>
      <scheme val="minor"/>
    </font>
    <font>
      <b/>
      <sz val="11"/>
      <color theme="0"/>
      <name val="Cambria"/>
      <family val="2"/>
      <scheme val="minor"/>
    </font>
    <font>
      <sz val="11"/>
      <name val="Cambria"/>
      <family val="2"/>
      <scheme val="minor"/>
    </font>
    <font>
      <sz val="10"/>
      <color indexed="63"/>
      <name val="Cambria"/>
      <family val="4"/>
      <scheme val="minor"/>
    </font>
    <font>
      <b/>
      <sz val="28"/>
      <color theme="1" tint="0.34998626667073579"/>
      <name val="Cambria"/>
      <family val="2"/>
      <scheme val="minor"/>
    </font>
    <font>
      <sz val="40"/>
      <color theme="4"/>
      <name val="Cambria"/>
      <family val="1"/>
      <scheme val="major"/>
    </font>
    <font>
      <sz val="40"/>
      <color theme="4" tint="-0.249977111117893"/>
      <name val="Cambria"/>
      <family val="1"/>
      <scheme val="major"/>
    </font>
    <font>
      <sz val="11"/>
      <name val="Cambria"/>
      <family val="1"/>
      <scheme val="major"/>
    </font>
    <font>
      <sz val="22"/>
      <color theme="4"/>
      <name val="Cambria"/>
      <family val="1"/>
      <scheme val="major"/>
    </font>
    <font>
      <sz val="40"/>
      <color theme="8"/>
      <name val="Cambria"/>
      <family val="1"/>
      <scheme val="major"/>
    </font>
    <font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40"/>
      <color theme="4" tint="-0.249977111117893"/>
      <name val="Cambria"/>
      <family val="1"/>
      <scheme val="major"/>
    </font>
    <font>
      <sz val="8"/>
      <name val="BatangChe"/>
      <family val="3"/>
      <charset val="129"/>
      <scheme val="minor"/>
    </font>
    <font>
      <sz val="12"/>
      <color theme="1"/>
      <name val="Meiryo UI"/>
      <family val="2"/>
      <charset val="128"/>
    </font>
    <font>
      <sz val="40"/>
      <color theme="4"/>
      <name val="Meiryo UI"/>
      <family val="2"/>
      <charset val="128"/>
    </font>
    <font>
      <sz val="11"/>
      <name val="Meiryo UI"/>
      <family val="2"/>
    </font>
    <font>
      <sz val="12"/>
      <color theme="1"/>
      <name val="Meiryo UI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color theme="1"/>
      <name val="Meiryo UI"/>
      <family val="3"/>
      <charset val="128"/>
    </font>
    <font>
      <b/>
      <sz val="9"/>
      <color theme="4"/>
      <name val="Meiryo UI"/>
      <family val="3"/>
      <charset val="128"/>
    </font>
    <font>
      <sz val="12"/>
      <color rgb="FFFF0000"/>
      <name val="Cambria"/>
      <family val="1"/>
    </font>
    <font>
      <sz val="12"/>
      <name val="Cambria"/>
      <family val="1"/>
    </font>
    <font>
      <sz val="11"/>
      <name val="Cambria"/>
      <family val="1"/>
    </font>
    <font>
      <sz val="12"/>
      <color theme="2" tint="-0.499984740745262"/>
      <name val="Cambria"/>
      <family val="1"/>
    </font>
    <font>
      <sz val="36"/>
      <color theme="4" tint="-0.249977111117893"/>
      <name val="Cambria"/>
      <family val="1"/>
    </font>
    <font>
      <b/>
      <sz val="9"/>
      <color rgb="FFFF0000"/>
      <name val="Meiryo UI"/>
      <family val="3"/>
      <charset val="128"/>
    </font>
    <font>
      <b/>
      <sz val="9"/>
      <color theme="2" tint="-0.49998474074526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  <xf numFmtId="0" fontId="4" fillId="0" borderId="0" applyNumberFormat="0" applyFill="0" applyAlignment="0" applyProtection="0"/>
    <xf numFmtId="0" fontId="18" fillId="0" borderId="0">
      <alignment vertical="center"/>
    </xf>
  </cellStyleXfs>
  <cellXfs count="43">
    <xf numFmtId="0" fontId="0" fillId="0" borderId="0" xfId="0"/>
    <xf numFmtId="177" fontId="5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8" fillId="0" borderId="0" xfId="0" applyFont="1"/>
    <xf numFmtId="177" fontId="9" fillId="0" borderId="0" xfId="1" applyNumberFormat="1" applyFont="1" applyBorder="1" applyAlignment="1">
      <alignment vertical="center"/>
    </xf>
    <xf numFmtId="0" fontId="7" fillId="0" borderId="0" xfId="1" applyFont="1"/>
    <xf numFmtId="0" fontId="10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177" fontId="12" fillId="0" borderId="0" xfId="1" applyNumberFormat="1" applyFont="1" applyBorder="1" applyAlignment="1">
      <alignment vertical="center"/>
    </xf>
    <xf numFmtId="0" fontId="7" fillId="0" borderId="0" xfId="1" applyFont="1"/>
    <xf numFmtId="0" fontId="14" fillId="0" borderId="0" xfId="0" applyFont="1"/>
    <xf numFmtId="0" fontId="16" fillId="0" borderId="0" xfId="1" applyFont="1"/>
    <xf numFmtId="178" fontId="17" fillId="0" borderId="0" xfId="0" applyNumberFormat="1" applyFont="1"/>
    <xf numFmtId="0" fontId="18" fillId="0" borderId="0" xfId="5">
      <alignment vertical="center"/>
    </xf>
    <xf numFmtId="0" fontId="20" fillId="0" borderId="2" xfId="5" applyFont="1" applyBorder="1" applyAlignment="1">
      <alignment horizontal="center" vertical="center"/>
    </xf>
    <xf numFmtId="14" fontId="18" fillId="0" borderId="3" xfId="5" applyNumberFormat="1" applyBorder="1">
      <alignment vertical="center"/>
    </xf>
    <xf numFmtId="0" fontId="18" fillId="0" borderId="3" xfId="5" applyBorder="1" applyAlignment="1">
      <alignment horizontal="center" vertical="center"/>
    </xf>
    <xf numFmtId="14" fontId="18" fillId="0" borderId="4" xfId="5" applyNumberFormat="1" applyBorder="1">
      <alignment vertical="center"/>
    </xf>
    <xf numFmtId="0" fontId="18" fillId="4" borderId="4" xfId="5" applyFill="1" applyBorder="1" applyAlignment="1">
      <alignment horizontal="center" vertical="center"/>
    </xf>
    <xf numFmtId="0" fontId="18" fillId="0" borderId="4" xfId="5" applyBorder="1" applyAlignment="1">
      <alignment horizontal="center" vertical="center"/>
    </xf>
    <xf numFmtId="0" fontId="18" fillId="4" borderId="6" xfId="5" applyFill="1" applyBorder="1" applyAlignment="1">
      <alignment horizontal="center" vertical="center"/>
    </xf>
    <xf numFmtId="0" fontId="18" fillId="0" borderId="0" xfId="5">
      <alignment vertical="center"/>
    </xf>
    <xf numFmtId="14" fontId="18" fillId="0" borderId="3" xfId="5" applyNumberFormat="1" applyBorder="1">
      <alignment vertical="center"/>
    </xf>
    <xf numFmtId="14" fontId="18" fillId="0" borderId="4" xfId="5" applyNumberFormat="1" applyBorder="1">
      <alignment vertical="center"/>
    </xf>
    <xf numFmtId="14" fontId="21" fillId="0" borderId="5" xfId="5" applyNumberFormat="1" applyFont="1" applyBorder="1">
      <alignment vertical="center"/>
    </xf>
    <xf numFmtId="14" fontId="18" fillId="0" borderId="6" xfId="5" applyNumberFormat="1" applyBorder="1">
      <alignment vertical="center"/>
    </xf>
    <xf numFmtId="0" fontId="7" fillId="0" borderId="0" xfId="1" applyFont="1"/>
    <xf numFmtId="0" fontId="23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176" fontId="27" fillId="0" borderId="0" xfId="1" applyNumberFormat="1" applyFont="1" applyFill="1" applyBorder="1" applyAlignment="1">
      <alignment horizontal="center" vertical="top" wrapText="1"/>
    </xf>
    <xf numFmtId="176" fontId="28" fillId="0" borderId="0" xfId="1" applyNumberFormat="1" applyFont="1" applyFill="1" applyBorder="1" applyAlignment="1">
      <alignment horizontal="center" vertical="top" wrapText="1"/>
    </xf>
    <xf numFmtId="176" fontId="30" fillId="0" borderId="0" xfId="1" applyNumberFormat="1" applyFont="1" applyFill="1" applyBorder="1" applyAlignment="1">
      <alignment horizontal="center" vertical="top" wrapText="1"/>
    </xf>
    <xf numFmtId="176" fontId="29" fillId="0" borderId="0" xfId="1" applyNumberFormat="1" applyFont="1" applyFill="1" applyBorder="1" applyAlignment="1">
      <alignment horizontal="center" vertical="top" wrapText="1"/>
    </xf>
    <xf numFmtId="0" fontId="7" fillId="0" borderId="0" xfId="1" applyFont="1" applyFill="1"/>
    <xf numFmtId="0" fontId="7" fillId="0" borderId="0" xfId="1" applyFont="1" applyFill="1" applyBorder="1"/>
    <xf numFmtId="0" fontId="33" fillId="0" borderId="0" xfId="0" applyFont="1" applyFill="1" applyAlignment="1">
      <alignment horizontal="center" vertical="center"/>
    </xf>
    <xf numFmtId="177" fontId="15" fillId="0" borderId="0" xfId="1" applyNumberFormat="1" applyFont="1" applyBorder="1" applyAlignment="1">
      <alignment horizontal="left" vertical="top" indent="2"/>
    </xf>
    <xf numFmtId="0" fontId="31" fillId="0" borderId="0" xfId="1" applyNumberFormat="1" applyFont="1" applyBorder="1" applyAlignment="1">
      <alignment vertical="top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</cellXfs>
  <cellStyles count="6">
    <cellStyle name="40% - Accent1 2" xfId="3"/>
    <cellStyle name="Accent1 2" xfId="2"/>
    <cellStyle name="Heading 1 2" xfId="4"/>
    <cellStyle name="Normal 2" xfId="1"/>
    <cellStyle name="標準" xfId="0" builtinId="0" customBuiltin="1"/>
    <cellStyle name="標準 2" xfId="5"/>
  </cellStyles>
  <dxfs count="308"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9" defaultPivotStyle="PivotStyleLight16">
    <tableStyle name="TableStyleLight7 2" pivot="0" count="7">
      <tableStyleElement type="wholeTable" dxfId="307"/>
      <tableStyleElement type="headerRow" dxfId="306"/>
      <tableStyleElement type="totalRow" dxfId="305"/>
      <tableStyleElement type="firstColumn" dxfId="304"/>
      <tableStyleElement type="lastColumn" dxfId="303"/>
      <tableStyleElement type="firstRowStripe" dxfId="302"/>
      <tableStyleElement type="firstColumnStripe" dxfId="301"/>
    </tableStyle>
    <tableStyle name="TableStyleLight9 2" pivot="0" count="4">
      <tableStyleElement type="wholeTable" dxfId="300"/>
      <tableStyleElement type="headerRow" dxfId="299"/>
      <tableStyleElement type="totalRow" dxfId="298"/>
      <tableStyleElement type="firstColumn" dxfId="297"/>
    </tableStyle>
  </tableStyles>
  <colors>
    <mruColors>
      <color rgb="FFF1F7B3"/>
      <color rgb="FFEBFEB0"/>
      <color rgb="FFF45500"/>
      <color rgb="FF3F8583"/>
      <color rgb="FFB1CFCE"/>
      <color rgb="FFD9D9D9"/>
      <color rgb="FF136C69"/>
      <color rgb="FF56B053"/>
      <color rgb="FFC17529"/>
      <color rgb="FFFDFDF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L$2" max="2999" min="1900" page="10" val="201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0</xdr:row>
      <xdr:rowOff>76200</xdr:rowOff>
    </xdr:from>
    <xdr:to>
      <xdr:col>9</xdr:col>
      <xdr:colOff>134296</xdr:colOff>
      <xdr:row>1</xdr:row>
      <xdr:rowOff>609600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76200"/>
          <a:ext cx="400996" cy="714375"/>
        </a:xfrm>
        <a:prstGeom prst="rect">
          <a:avLst/>
        </a:prstGeom>
      </xdr:spPr>
    </xdr:pic>
    <xdr:clientData/>
  </xdr:twoCellAnchor>
  <xdr:twoCellAnchor>
    <xdr:from>
      <xdr:col>12</xdr:col>
      <xdr:colOff>85725</xdr:colOff>
      <xdr:row>1</xdr:row>
      <xdr:rowOff>57150</xdr:rowOff>
    </xdr:from>
    <xdr:to>
      <xdr:col>15</xdr:col>
      <xdr:colOff>142875</xdr:colOff>
      <xdr:row>1</xdr:row>
      <xdr:rowOff>628650</xdr:rowOff>
    </xdr:to>
    <xdr:sp macro="" textlink="">
      <xdr:nvSpPr>
        <xdr:cNvPr id="63" name="TextBox 62"/>
        <xdr:cNvSpPr txBox="1"/>
      </xdr:nvSpPr>
      <xdr:spPr>
        <a:xfrm>
          <a:off x="3219450" y="238125"/>
          <a:ext cx="914400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000" b="1">
              <a:solidFill>
                <a:schemeClr val="accent1"/>
              </a:solidFill>
              <a:latin typeface="Meiryo UI" pitchFamily="34" charset="-128"/>
              <a:ea typeface="Meiryo UI" pitchFamily="34" charset="-128"/>
              <a:cs typeface="Meiryo UI" pitchFamily="34" charset="-128"/>
            </a:rPr>
            <a:t>カレンダーの年を変更するには、スピン ボタンをクリックしてください。</a:t>
          </a:r>
        </a:p>
      </xdr:txBody>
    </xdr:sp>
    <xdr:clientData fPrintsWithSheet="0"/>
  </xdr:twoCellAnchor>
  <xdr:twoCellAnchor>
    <xdr:from>
      <xdr:col>12</xdr:col>
      <xdr:colOff>9524</xdr:colOff>
      <xdr:row>2</xdr:row>
      <xdr:rowOff>2</xdr:rowOff>
    </xdr:from>
    <xdr:to>
      <xdr:col>14</xdr:col>
      <xdr:colOff>76200</xdr:colOff>
      <xdr:row>11</xdr:row>
      <xdr:rowOff>9527</xdr:rowOff>
    </xdr:to>
    <xdr:sp macro="" textlink="">
      <xdr:nvSpPr>
        <xdr:cNvPr id="94" name="テキスト ボックス 93"/>
        <xdr:cNvSpPr txBox="1"/>
      </xdr:nvSpPr>
      <xdr:spPr>
        <a:xfrm rot="5400000">
          <a:off x="2843212" y="1319214"/>
          <a:ext cx="13049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FEB.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190500</xdr:colOff>
      <xdr:row>12</xdr:row>
      <xdr:rowOff>2</xdr:rowOff>
    </xdr:from>
    <xdr:to>
      <xdr:col>11</xdr:col>
      <xdr:colOff>9525</xdr:colOff>
      <xdr:row>21</xdr:row>
      <xdr:rowOff>9527</xdr:rowOff>
    </xdr:to>
    <xdr:sp macro="" textlink="">
      <xdr:nvSpPr>
        <xdr:cNvPr id="95" name="テキスト ボックス 94"/>
        <xdr:cNvSpPr txBox="1"/>
      </xdr:nvSpPr>
      <xdr:spPr>
        <a:xfrm rot="5400000">
          <a:off x="2138362" y="2690815"/>
          <a:ext cx="1304925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MAR.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47624</xdr:colOff>
      <xdr:row>22</xdr:row>
      <xdr:rowOff>2</xdr:rowOff>
    </xdr:from>
    <xdr:to>
      <xdr:col>14</xdr:col>
      <xdr:colOff>66675</xdr:colOff>
      <xdr:row>31</xdr:row>
      <xdr:rowOff>9527</xdr:rowOff>
    </xdr:to>
    <xdr:sp macro="" textlink="">
      <xdr:nvSpPr>
        <xdr:cNvPr id="96" name="テキスト ボックス 95"/>
        <xdr:cNvSpPr txBox="1"/>
      </xdr:nvSpPr>
      <xdr:spPr>
        <a:xfrm rot="5400000">
          <a:off x="2833687" y="4005264"/>
          <a:ext cx="13049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JUN.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180974</xdr:colOff>
      <xdr:row>32</xdr:row>
      <xdr:rowOff>2</xdr:rowOff>
    </xdr:from>
    <xdr:to>
      <xdr:col>10</xdr:col>
      <xdr:colOff>571498</xdr:colOff>
      <xdr:row>41</xdr:row>
      <xdr:rowOff>9527</xdr:rowOff>
    </xdr:to>
    <xdr:sp macro="" textlink="">
      <xdr:nvSpPr>
        <xdr:cNvPr id="97" name="テキスト ボックス 96"/>
        <xdr:cNvSpPr txBox="1"/>
      </xdr:nvSpPr>
      <xdr:spPr>
        <a:xfrm rot="5400000">
          <a:off x="2128836" y="5376865"/>
          <a:ext cx="1304925" cy="6286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JUL.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47624</xdr:colOff>
      <xdr:row>42</xdr:row>
      <xdr:rowOff>2</xdr:rowOff>
    </xdr:from>
    <xdr:to>
      <xdr:col>14</xdr:col>
      <xdr:colOff>66675</xdr:colOff>
      <xdr:row>51</xdr:row>
      <xdr:rowOff>3</xdr:rowOff>
    </xdr:to>
    <xdr:sp macro="" textlink="">
      <xdr:nvSpPr>
        <xdr:cNvPr id="98" name="テキスト ボックス 97"/>
        <xdr:cNvSpPr txBox="1"/>
      </xdr:nvSpPr>
      <xdr:spPr>
        <a:xfrm rot="5400000">
          <a:off x="2838449" y="6686552"/>
          <a:ext cx="1295401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OCT. 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180975</xdr:colOff>
      <xdr:row>52</xdr:row>
      <xdr:rowOff>2</xdr:rowOff>
    </xdr:from>
    <xdr:to>
      <xdr:col>11</xdr:col>
      <xdr:colOff>0</xdr:colOff>
      <xdr:row>61</xdr:row>
      <xdr:rowOff>3</xdr:rowOff>
    </xdr:to>
    <xdr:sp macro="" textlink="">
      <xdr:nvSpPr>
        <xdr:cNvPr id="99" name="テキスト ボックス13"/>
        <xdr:cNvSpPr txBox="1"/>
      </xdr:nvSpPr>
      <xdr:spPr>
        <a:xfrm rot="5400000">
          <a:off x="2133599" y="8058153"/>
          <a:ext cx="1295401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NOV.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9</xdr:col>
      <xdr:colOff>14287</xdr:colOff>
      <xdr:row>1</xdr:row>
      <xdr:rowOff>404814</xdr:rowOff>
    </xdr:from>
    <xdr:to>
      <xdr:col>12</xdr:col>
      <xdr:colOff>161925</xdr:colOff>
      <xdr:row>8</xdr:row>
      <xdr:rowOff>119065</xdr:rowOff>
    </xdr:to>
    <xdr:sp macro="" textlink="">
      <xdr:nvSpPr>
        <xdr:cNvPr id="108" name="テキスト ボックス 107"/>
        <xdr:cNvSpPr txBox="1"/>
      </xdr:nvSpPr>
      <xdr:spPr>
        <a:xfrm>
          <a:off x="2281237" y="585789"/>
          <a:ext cx="1014413" cy="12573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10</xdr:col>
      <xdr:colOff>96811</xdr:colOff>
      <xdr:row>6</xdr:row>
      <xdr:rowOff>142875</xdr:rowOff>
    </xdr:from>
    <xdr:to>
      <xdr:col>10</xdr:col>
      <xdr:colOff>384767</xdr:colOff>
      <xdr:row>10</xdr:row>
      <xdr:rowOff>57150</xdr:rowOff>
    </xdr:to>
    <xdr:pic>
      <xdr:nvPicPr>
        <xdr:cNvPr id="109" name="イメージ 2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1886" y="1524000"/>
          <a:ext cx="287956" cy="600075"/>
        </a:xfrm>
        <a:prstGeom prst="rect">
          <a:avLst/>
        </a:prstGeom>
      </xdr:spPr>
    </xdr:pic>
    <xdr:clientData/>
  </xdr:twoCellAnchor>
  <xdr:twoCellAnchor>
    <xdr:from>
      <xdr:col>8</xdr:col>
      <xdr:colOff>214312</xdr:colOff>
      <xdr:row>20</xdr:row>
      <xdr:rowOff>80964</xdr:rowOff>
    </xdr:from>
    <xdr:to>
      <xdr:col>12</xdr:col>
      <xdr:colOff>123825</xdr:colOff>
      <xdr:row>26</xdr:row>
      <xdr:rowOff>109540</xdr:rowOff>
    </xdr:to>
    <xdr:sp macro="" textlink="">
      <xdr:nvSpPr>
        <xdr:cNvPr id="110" name="テキスト ボックス 109"/>
        <xdr:cNvSpPr txBox="1"/>
      </xdr:nvSpPr>
      <xdr:spPr>
        <a:xfrm>
          <a:off x="2262187" y="363378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10</xdr:col>
      <xdr:colOff>38101</xdr:colOff>
      <xdr:row>25</xdr:row>
      <xdr:rowOff>154451</xdr:rowOff>
    </xdr:from>
    <xdr:to>
      <xdr:col>10</xdr:col>
      <xdr:colOff>457201</xdr:colOff>
      <xdr:row>29</xdr:row>
      <xdr:rowOff>163874</xdr:rowOff>
    </xdr:to>
    <xdr:pic>
      <xdr:nvPicPr>
        <xdr:cNvPr id="111" name="イメージ 3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6" y="4193051"/>
          <a:ext cx="419100" cy="695223"/>
        </a:xfrm>
        <a:prstGeom prst="rect">
          <a:avLst/>
        </a:prstGeom>
      </xdr:spPr>
    </xdr:pic>
    <xdr:clientData/>
  </xdr:twoCellAnchor>
  <xdr:twoCellAnchor>
    <xdr:from>
      <xdr:col>8</xdr:col>
      <xdr:colOff>214312</xdr:colOff>
      <xdr:row>40</xdr:row>
      <xdr:rowOff>80964</xdr:rowOff>
    </xdr:from>
    <xdr:to>
      <xdr:col>12</xdr:col>
      <xdr:colOff>123825</xdr:colOff>
      <xdr:row>46</xdr:row>
      <xdr:rowOff>109540</xdr:rowOff>
    </xdr:to>
    <xdr:sp macro="" textlink="">
      <xdr:nvSpPr>
        <xdr:cNvPr id="112" name="テキスト ボックス 111"/>
        <xdr:cNvSpPr txBox="1"/>
      </xdr:nvSpPr>
      <xdr:spPr>
        <a:xfrm>
          <a:off x="2262187" y="631983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10</xdr:col>
      <xdr:colOff>57151</xdr:colOff>
      <xdr:row>46</xdr:row>
      <xdr:rowOff>66676</xdr:rowOff>
    </xdr:from>
    <xdr:to>
      <xdr:col>10</xdr:col>
      <xdr:colOff>447675</xdr:colOff>
      <xdr:row>50</xdr:row>
      <xdr:rowOff>21065</xdr:rowOff>
    </xdr:to>
    <xdr:pic>
      <xdr:nvPicPr>
        <xdr:cNvPr id="113" name="イメージ 3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2226" y="7058026"/>
          <a:ext cx="390524" cy="640189"/>
        </a:xfrm>
        <a:prstGeom prst="rect">
          <a:avLst/>
        </a:prstGeom>
      </xdr:spPr>
    </xdr:pic>
    <xdr:clientData/>
  </xdr:twoCellAnchor>
  <xdr:twoCellAnchor>
    <xdr:from>
      <xdr:col>19</xdr:col>
      <xdr:colOff>214312</xdr:colOff>
      <xdr:row>40</xdr:row>
      <xdr:rowOff>71439</xdr:rowOff>
    </xdr:from>
    <xdr:to>
      <xdr:col>22</xdr:col>
      <xdr:colOff>171450</xdr:colOff>
      <xdr:row>46</xdr:row>
      <xdr:rowOff>100015</xdr:rowOff>
    </xdr:to>
    <xdr:sp macro="" textlink="">
      <xdr:nvSpPr>
        <xdr:cNvPr id="114" name="テキスト ボックス 113"/>
        <xdr:cNvSpPr txBox="1"/>
      </xdr:nvSpPr>
      <xdr:spPr>
        <a:xfrm>
          <a:off x="5157787" y="6357939"/>
          <a:ext cx="1004888" cy="733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36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10</a:t>
          </a:r>
          <a:endParaRPr kumimoji="1" lang="ja-JP" altLang="en-US" sz="3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21</xdr:col>
      <xdr:colOff>133351</xdr:colOff>
      <xdr:row>45</xdr:row>
      <xdr:rowOff>85725</xdr:rowOff>
    </xdr:from>
    <xdr:to>
      <xdr:col>21</xdr:col>
      <xdr:colOff>432455</xdr:colOff>
      <xdr:row>49</xdr:row>
      <xdr:rowOff>161925</xdr:rowOff>
    </xdr:to>
    <xdr:pic>
      <xdr:nvPicPr>
        <xdr:cNvPr id="115" name="イメージ 40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6" y="6905625"/>
          <a:ext cx="299104" cy="762000"/>
        </a:xfrm>
        <a:prstGeom prst="rect">
          <a:avLst/>
        </a:prstGeom>
      </xdr:spPr>
    </xdr:pic>
    <xdr:clientData/>
  </xdr:twoCellAnchor>
  <xdr:twoCellAnchor>
    <xdr:from>
      <xdr:col>19</xdr:col>
      <xdr:colOff>223837</xdr:colOff>
      <xdr:row>20</xdr:row>
      <xdr:rowOff>90489</xdr:rowOff>
    </xdr:from>
    <xdr:to>
      <xdr:col>22</xdr:col>
      <xdr:colOff>180975</xdr:colOff>
      <xdr:row>26</xdr:row>
      <xdr:rowOff>119065</xdr:rowOff>
    </xdr:to>
    <xdr:sp macro="" textlink="">
      <xdr:nvSpPr>
        <xdr:cNvPr id="116" name="テキスト ボックス 115"/>
        <xdr:cNvSpPr txBox="1"/>
      </xdr:nvSpPr>
      <xdr:spPr>
        <a:xfrm>
          <a:off x="5176837" y="3643314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6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21</xdr:col>
      <xdr:colOff>104775</xdr:colOff>
      <xdr:row>25</xdr:row>
      <xdr:rowOff>123825</xdr:rowOff>
    </xdr:from>
    <xdr:to>
      <xdr:col>21</xdr:col>
      <xdr:colOff>409575</xdr:colOff>
      <xdr:row>29</xdr:row>
      <xdr:rowOff>158906</xdr:rowOff>
    </xdr:to>
    <xdr:pic>
      <xdr:nvPicPr>
        <xdr:cNvPr id="117" name="イメージ 3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0" y="4162425"/>
          <a:ext cx="304800" cy="720881"/>
        </a:xfrm>
        <a:prstGeom prst="rect">
          <a:avLst/>
        </a:prstGeom>
      </xdr:spPr>
    </xdr:pic>
    <xdr:clientData/>
  </xdr:twoCellAnchor>
  <xdr:twoCellAnchor>
    <xdr:from>
      <xdr:col>19</xdr:col>
      <xdr:colOff>233362</xdr:colOff>
      <xdr:row>1</xdr:row>
      <xdr:rowOff>414339</xdr:rowOff>
    </xdr:from>
    <xdr:to>
      <xdr:col>22</xdr:col>
      <xdr:colOff>190500</xdr:colOff>
      <xdr:row>8</xdr:row>
      <xdr:rowOff>128590</xdr:rowOff>
    </xdr:to>
    <xdr:sp macro="" textlink="">
      <xdr:nvSpPr>
        <xdr:cNvPr id="118" name="テキスト ボックス 117"/>
        <xdr:cNvSpPr txBox="1"/>
      </xdr:nvSpPr>
      <xdr:spPr>
        <a:xfrm>
          <a:off x="5176837" y="595314"/>
          <a:ext cx="1004888" cy="12573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21</xdr:col>
      <xdr:colOff>95251</xdr:colOff>
      <xdr:row>6</xdr:row>
      <xdr:rowOff>38100</xdr:rowOff>
    </xdr:from>
    <xdr:to>
      <xdr:col>21</xdr:col>
      <xdr:colOff>457201</xdr:colOff>
      <xdr:row>10</xdr:row>
      <xdr:rowOff>28575</xdr:rowOff>
    </xdr:to>
    <xdr:pic>
      <xdr:nvPicPr>
        <xdr:cNvPr id="119" name="イメージ 2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14976" y="1419225"/>
          <a:ext cx="361950" cy="676275"/>
        </a:xfrm>
        <a:prstGeom prst="rect">
          <a:avLst/>
        </a:prstGeom>
      </xdr:spPr>
    </xdr:pic>
    <xdr:clientData/>
  </xdr:twoCellAnchor>
  <xdr:twoCellAnchor>
    <xdr:from>
      <xdr:col>0</xdr:col>
      <xdr:colOff>71437</xdr:colOff>
      <xdr:row>10</xdr:row>
      <xdr:rowOff>71439</xdr:rowOff>
    </xdr:from>
    <xdr:to>
      <xdr:col>3</xdr:col>
      <xdr:colOff>219075</xdr:colOff>
      <xdr:row>16</xdr:row>
      <xdr:rowOff>100015</xdr:rowOff>
    </xdr:to>
    <xdr:sp macro="" textlink="">
      <xdr:nvSpPr>
        <xdr:cNvPr id="120" name="テキスト ボックス 119"/>
        <xdr:cNvSpPr txBox="1"/>
      </xdr:nvSpPr>
      <xdr:spPr>
        <a:xfrm>
          <a:off x="71437" y="228123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</xdr:col>
      <xdr:colOff>104776</xdr:colOff>
      <xdr:row>15</xdr:row>
      <xdr:rowOff>133350</xdr:rowOff>
    </xdr:from>
    <xdr:to>
      <xdr:col>2</xdr:col>
      <xdr:colOff>81914</xdr:colOff>
      <xdr:row>19</xdr:row>
      <xdr:rowOff>123826</xdr:rowOff>
    </xdr:to>
    <xdr:pic>
      <xdr:nvPicPr>
        <xdr:cNvPr id="121" name="イメージ 3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1" y="2781300"/>
          <a:ext cx="358138" cy="676276"/>
        </a:xfrm>
        <a:prstGeom prst="rect">
          <a:avLst/>
        </a:prstGeom>
      </xdr:spPr>
    </xdr:pic>
    <xdr:clientData/>
  </xdr:twoCellAnchor>
  <xdr:twoCellAnchor>
    <xdr:from>
      <xdr:col>10</xdr:col>
      <xdr:colOff>452437</xdr:colOff>
      <xdr:row>10</xdr:row>
      <xdr:rowOff>90489</xdr:rowOff>
    </xdr:from>
    <xdr:to>
      <xdr:col>14</xdr:col>
      <xdr:colOff>219075</xdr:colOff>
      <xdr:row>16</xdr:row>
      <xdr:rowOff>119065</xdr:rowOff>
    </xdr:to>
    <xdr:sp macro="" textlink="">
      <xdr:nvSpPr>
        <xdr:cNvPr id="122" name="テキスト ボックス 121"/>
        <xdr:cNvSpPr txBox="1"/>
      </xdr:nvSpPr>
      <xdr:spPr>
        <a:xfrm>
          <a:off x="2976562" y="230028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80962</xdr:colOff>
      <xdr:row>30</xdr:row>
      <xdr:rowOff>71439</xdr:rowOff>
    </xdr:from>
    <xdr:to>
      <xdr:col>3</xdr:col>
      <xdr:colOff>228600</xdr:colOff>
      <xdr:row>36</xdr:row>
      <xdr:rowOff>100015</xdr:rowOff>
    </xdr:to>
    <xdr:sp macro="" textlink="">
      <xdr:nvSpPr>
        <xdr:cNvPr id="123" name="テキスト ボックス 122"/>
        <xdr:cNvSpPr txBox="1"/>
      </xdr:nvSpPr>
      <xdr:spPr>
        <a:xfrm>
          <a:off x="80962" y="496728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7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461962</xdr:colOff>
      <xdr:row>30</xdr:row>
      <xdr:rowOff>80964</xdr:rowOff>
    </xdr:from>
    <xdr:to>
      <xdr:col>14</xdr:col>
      <xdr:colOff>228600</xdr:colOff>
      <xdr:row>36</xdr:row>
      <xdr:rowOff>109540</xdr:rowOff>
    </xdr:to>
    <xdr:sp macro="" textlink="">
      <xdr:nvSpPr>
        <xdr:cNvPr id="124" name="テキスト ボックス 123"/>
        <xdr:cNvSpPr txBox="1"/>
      </xdr:nvSpPr>
      <xdr:spPr>
        <a:xfrm>
          <a:off x="2986087" y="4976814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44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8</a:t>
          </a:r>
          <a:endParaRPr kumimoji="1" lang="ja-JP" altLang="en-US" sz="4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12</xdr:col>
      <xdr:colOff>171450</xdr:colOff>
      <xdr:row>36</xdr:row>
      <xdr:rowOff>4457</xdr:rowOff>
    </xdr:from>
    <xdr:to>
      <xdr:col>13</xdr:col>
      <xdr:colOff>247650</xdr:colOff>
      <xdr:row>39</xdr:row>
      <xdr:rowOff>156538</xdr:rowOff>
    </xdr:to>
    <xdr:pic>
      <xdr:nvPicPr>
        <xdr:cNvPr id="125" name="イメージ 38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5175" y="5605157"/>
          <a:ext cx="314325" cy="666431"/>
        </a:xfrm>
        <a:prstGeom prst="rect">
          <a:avLst/>
        </a:prstGeom>
      </xdr:spPr>
    </xdr:pic>
    <xdr:clientData/>
  </xdr:twoCellAnchor>
  <xdr:twoCellAnchor editAs="oneCell">
    <xdr:from>
      <xdr:col>1</xdr:col>
      <xdr:colOff>110416</xdr:colOff>
      <xdr:row>36</xdr:row>
      <xdr:rowOff>9525</xdr:rowOff>
    </xdr:from>
    <xdr:to>
      <xdr:col>2</xdr:col>
      <xdr:colOff>123826</xdr:colOff>
      <xdr:row>40</xdr:row>
      <xdr:rowOff>47625</xdr:rowOff>
    </xdr:to>
    <xdr:pic>
      <xdr:nvPicPr>
        <xdr:cNvPr id="126" name="イメージ 37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491" y="5610225"/>
          <a:ext cx="394410" cy="723900"/>
        </a:xfrm>
        <a:prstGeom prst="rect">
          <a:avLst/>
        </a:prstGeom>
      </xdr:spPr>
    </xdr:pic>
    <xdr:clientData/>
  </xdr:twoCellAnchor>
  <xdr:twoCellAnchor>
    <xdr:from>
      <xdr:col>0</xdr:col>
      <xdr:colOff>80962</xdr:colOff>
      <xdr:row>50</xdr:row>
      <xdr:rowOff>71439</xdr:rowOff>
    </xdr:from>
    <xdr:to>
      <xdr:col>3</xdr:col>
      <xdr:colOff>228600</xdr:colOff>
      <xdr:row>56</xdr:row>
      <xdr:rowOff>100015</xdr:rowOff>
    </xdr:to>
    <xdr:sp macro="" textlink="">
      <xdr:nvSpPr>
        <xdr:cNvPr id="127" name="テキスト ボックス 126"/>
        <xdr:cNvSpPr txBox="1"/>
      </xdr:nvSpPr>
      <xdr:spPr>
        <a:xfrm>
          <a:off x="80962" y="765333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36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11</a:t>
          </a:r>
          <a:endParaRPr kumimoji="1" lang="ja-JP" altLang="en-US" sz="3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452437</xdr:colOff>
      <xdr:row>50</xdr:row>
      <xdr:rowOff>71439</xdr:rowOff>
    </xdr:from>
    <xdr:to>
      <xdr:col>14</xdr:col>
      <xdr:colOff>219075</xdr:colOff>
      <xdr:row>56</xdr:row>
      <xdr:rowOff>100015</xdr:rowOff>
    </xdr:to>
    <xdr:sp macro="" textlink="">
      <xdr:nvSpPr>
        <xdr:cNvPr id="128" name="テキスト ボックス 127"/>
        <xdr:cNvSpPr txBox="1"/>
      </xdr:nvSpPr>
      <xdr:spPr>
        <a:xfrm>
          <a:off x="2976562" y="7653339"/>
          <a:ext cx="1004888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36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12</a:t>
          </a:r>
          <a:endParaRPr kumimoji="1" lang="ja-JP" altLang="en-US" sz="3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 editAs="oneCell">
    <xdr:from>
      <xdr:col>1</xdr:col>
      <xdr:colOff>142876</xdr:colOff>
      <xdr:row>55</xdr:row>
      <xdr:rowOff>114300</xdr:rowOff>
    </xdr:from>
    <xdr:to>
      <xdr:col>2</xdr:col>
      <xdr:colOff>76200</xdr:colOff>
      <xdr:row>60</xdr:row>
      <xdr:rowOff>11231</xdr:rowOff>
    </xdr:to>
    <xdr:pic>
      <xdr:nvPicPr>
        <xdr:cNvPr id="129" name="イメージ 4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8324850"/>
          <a:ext cx="314324" cy="754181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95252</xdr:colOff>
      <xdr:row>56</xdr:row>
      <xdr:rowOff>57151</xdr:rowOff>
    </xdr:from>
    <xdr:to>
      <xdr:col>13</xdr:col>
      <xdr:colOff>247651</xdr:colOff>
      <xdr:row>59</xdr:row>
      <xdr:rowOff>95251</xdr:rowOff>
    </xdr:to>
    <xdr:pic>
      <xdr:nvPicPr>
        <xdr:cNvPr id="130" name="イメージ 42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8977" y="8439151"/>
          <a:ext cx="390524" cy="552450"/>
        </a:xfrm>
        <a:prstGeom prst="rect">
          <a:avLst/>
        </a:prstGeom>
      </xdr:spPr>
    </xdr:pic>
    <xdr:clientData/>
  </xdr:twoCellAnchor>
  <xdr:twoCellAnchor editAs="oneCell">
    <xdr:from>
      <xdr:col>12</xdr:col>
      <xdr:colOff>47899</xdr:colOff>
      <xdr:row>16</xdr:row>
      <xdr:rowOff>56616</xdr:rowOff>
    </xdr:from>
    <xdr:to>
      <xdr:col>13</xdr:col>
      <xdr:colOff>277168</xdr:colOff>
      <xdr:row>19</xdr:row>
      <xdr:rowOff>134235</xdr:rowOff>
    </xdr:to>
    <xdr:pic>
      <xdr:nvPicPr>
        <xdr:cNvPr id="131" name="イメージ 4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 rot="20805562">
          <a:off x="3181624" y="2876016"/>
          <a:ext cx="467394" cy="591969"/>
        </a:xfrm>
        <a:prstGeom prst="rect">
          <a:avLst/>
        </a:prstGeom>
      </xdr:spPr>
    </xdr:pic>
    <xdr:clientData/>
  </xdr:twoCellAnchor>
  <xdr:twoCellAnchor>
    <xdr:from>
      <xdr:col>1</xdr:col>
      <xdr:colOff>123824</xdr:colOff>
      <xdr:row>3</xdr:row>
      <xdr:rowOff>66678</xdr:rowOff>
    </xdr:from>
    <xdr:to>
      <xdr:col>3</xdr:col>
      <xdr:colOff>9526</xdr:colOff>
      <xdr:row>9</xdr:row>
      <xdr:rowOff>123825</xdr:rowOff>
    </xdr:to>
    <xdr:sp macro="" textlink="">
      <xdr:nvSpPr>
        <xdr:cNvPr id="132" name="テキスト ボックス 131"/>
        <xdr:cNvSpPr txBox="1"/>
      </xdr:nvSpPr>
      <xdr:spPr>
        <a:xfrm rot="5400000">
          <a:off x="76202" y="1295400"/>
          <a:ext cx="1038222" cy="5048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JAN.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66676</xdr:colOff>
      <xdr:row>32</xdr:row>
      <xdr:rowOff>9525</xdr:rowOff>
    </xdr:to>
    <xdr:sp macro="" textlink="">
      <xdr:nvSpPr>
        <xdr:cNvPr id="44" name="テキスト ボックス 43"/>
        <xdr:cNvSpPr txBox="1"/>
      </xdr:nvSpPr>
      <xdr:spPr>
        <a:xfrm rot="5400000">
          <a:off x="-90487" y="4052887"/>
          <a:ext cx="13049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MAY.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0</xdr:colOff>
      <xdr:row>42</xdr:row>
      <xdr:rowOff>9525</xdr:rowOff>
    </xdr:from>
    <xdr:to>
      <xdr:col>3</xdr:col>
      <xdr:colOff>66676</xdr:colOff>
      <xdr:row>50</xdr:row>
      <xdr:rowOff>57151</xdr:rowOff>
    </xdr:to>
    <xdr:sp macro="" textlink="">
      <xdr:nvSpPr>
        <xdr:cNvPr id="45" name="テキスト ボックス 44"/>
        <xdr:cNvSpPr txBox="1"/>
      </xdr:nvSpPr>
      <xdr:spPr>
        <a:xfrm rot="5400000">
          <a:off x="-85725" y="6743700"/>
          <a:ext cx="1295401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SEP.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21</xdr:col>
      <xdr:colOff>0</xdr:colOff>
      <xdr:row>32</xdr:row>
      <xdr:rowOff>66675</xdr:rowOff>
    </xdr:from>
    <xdr:to>
      <xdr:col>22</xdr:col>
      <xdr:colOff>47625</xdr:colOff>
      <xdr:row>41</xdr:row>
      <xdr:rowOff>28575</xdr:rowOff>
    </xdr:to>
    <xdr:sp macro="" textlink="">
      <xdr:nvSpPr>
        <xdr:cNvPr id="46" name="テキスト ボックス 45"/>
        <xdr:cNvSpPr txBox="1"/>
      </xdr:nvSpPr>
      <xdr:spPr>
        <a:xfrm rot="5400000">
          <a:off x="5076825" y="5448300"/>
          <a:ext cx="1304925" cy="619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AUG.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21</xdr:col>
      <xdr:colOff>0</xdr:colOff>
      <xdr:row>12</xdr:row>
      <xdr:rowOff>9525</xdr:rowOff>
    </xdr:from>
    <xdr:to>
      <xdr:col>22</xdr:col>
      <xdr:colOff>47625</xdr:colOff>
      <xdr:row>20</xdr:row>
      <xdr:rowOff>66675</xdr:rowOff>
    </xdr:to>
    <xdr:sp macro="" textlink="">
      <xdr:nvSpPr>
        <xdr:cNvPr id="47" name="テキスト ボックス 46"/>
        <xdr:cNvSpPr txBox="1"/>
      </xdr:nvSpPr>
      <xdr:spPr>
        <a:xfrm rot="5400000">
          <a:off x="5076825" y="2609850"/>
          <a:ext cx="1304925" cy="619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APR.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21</xdr:col>
      <xdr:colOff>0</xdr:colOff>
      <xdr:row>51</xdr:row>
      <xdr:rowOff>38100</xdr:rowOff>
    </xdr:from>
    <xdr:to>
      <xdr:col>22</xdr:col>
      <xdr:colOff>57150</xdr:colOff>
      <xdr:row>60</xdr:row>
      <xdr:rowOff>38101</xdr:rowOff>
    </xdr:to>
    <xdr:sp macro="" textlink="">
      <xdr:nvSpPr>
        <xdr:cNvPr id="48" name="テキスト ボックス 47"/>
        <xdr:cNvSpPr txBox="1"/>
      </xdr:nvSpPr>
      <xdr:spPr>
        <a:xfrm rot="5400000">
          <a:off x="5086349" y="8143876"/>
          <a:ext cx="1295401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DEC.</a:t>
          </a:r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atch">
  <a:themeElements>
    <a:clrScheme name="Family Calendar 1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56B0AD"/>
      </a:accent1>
      <a:accent2>
        <a:srgbClr val="74AA15"/>
      </a:accent2>
      <a:accent3>
        <a:srgbClr val="F4DB0B"/>
      </a:accent3>
      <a:accent4>
        <a:srgbClr val="F45500"/>
      </a:accent4>
      <a:accent5>
        <a:srgbClr val="EB8803"/>
      </a:accent5>
      <a:accent6>
        <a:srgbClr val="7030A0"/>
      </a:accent6>
      <a:hlink>
        <a:srgbClr val="425EA9"/>
      </a:hlink>
      <a:folHlink>
        <a:srgbClr val="AAB8DE"/>
      </a:folHlink>
    </a:clrScheme>
    <a:fontScheme name="Family Calendar 1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A1:V71"/>
  <sheetViews>
    <sheetView showGridLines="0" tabSelected="1" zoomScaleNormal="100" workbookViewId="0">
      <selection activeCell="Z59" sqref="Z59"/>
    </sheetView>
  </sheetViews>
  <sheetFormatPr defaultColWidth="6.6640625" defaultRowHeight="14.25"/>
  <cols>
    <col min="1" max="1" width="2.5546875" style="5" customWidth="1"/>
    <col min="2" max="2" width="4.44140625" style="5" customWidth="1"/>
    <col min="3" max="10" width="2.77734375" style="5" customWidth="1"/>
    <col min="11" max="11" width="6.77734375" style="5" customWidth="1"/>
    <col min="12" max="12" width="0.5546875" style="5" customWidth="1"/>
    <col min="13" max="13" width="2.77734375" style="5" customWidth="1"/>
    <col min="14" max="14" width="4.44140625" style="5" customWidth="1"/>
    <col min="15" max="21" width="2.77734375" style="5" customWidth="1"/>
    <col min="22" max="22" width="6.6640625" style="5" customWidth="1"/>
    <col min="23" max="16384" width="6.6640625" style="5"/>
  </cols>
  <sheetData>
    <row r="1" spans="1:22" s="10" customFormat="1"/>
    <row r="2" spans="1:22" ht="54" customHeight="1">
      <c r="A2" s="39"/>
      <c r="B2" s="39"/>
      <c r="C2" s="39"/>
      <c r="D2" s="39"/>
      <c r="E2" s="39"/>
      <c r="F2" s="39"/>
      <c r="G2" s="39"/>
      <c r="H2" s="9"/>
      <c r="I2" s="4"/>
      <c r="J2" s="4"/>
      <c r="Q2" s="40">
        <v>2014</v>
      </c>
      <c r="R2" s="40"/>
      <c r="S2" s="40"/>
      <c r="T2" s="40"/>
      <c r="U2" s="40"/>
    </row>
    <row r="3" spans="1:22" ht="7.5" customHeight="1">
      <c r="A3" s="3"/>
      <c r="B3" s="41"/>
      <c r="C3" s="28"/>
      <c r="D3" s="28"/>
      <c r="E3" s="28"/>
      <c r="F3" s="28"/>
      <c r="G3" s="28"/>
      <c r="H3" s="28"/>
      <c r="I3" s="28"/>
      <c r="J3" s="28"/>
      <c r="K3" s="28"/>
      <c r="L3" s="42"/>
      <c r="M3" s="28"/>
      <c r="N3" s="28"/>
      <c r="O3" s="28"/>
      <c r="P3" s="28"/>
      <c r="Q3" s="28"/>
      <c r="R3" s="28"/>
      <c r="S3" s="28"/>
      <c r="T3" s="28"/>
      <c r="U3" s="28"/>
      <c r="V3" s="28"/>
    </row>
    <row r="4" spans="1:22" s="27" customFormat="1" ht="9.75" customHeight="1">
      <c r="A4" s="3"/>
      <c r="B4" s="41"/>
      <c r="C4" s="28"/>
      <c r="D4" s="29" t="s">
        <v>26</v>
      </c>
      <c r="E4" s="30" t="s">
        <v>27</v>
      </c>
      <c r="F4" s="30" t="s">
        <v>28</v>
      </c>
      <c r="G4" s="30" t="s">
        <v>29</v>
      </c>
      <c r="H4" s="30" t="s">
        <v>30</v>
      </c>
      <c r="I4" s="30" t="s">
        <v>31</v>
      </c>
      <c r="J4" s="31" t="s">
        <v>0</v>
      </c>
      <c r="K4" s="28"/>
      <c r="L4" s="42"/>
      <c r="M4" s="28"/>
      <c r="N4" s="28"/>
      <c r="O4" s="29" t="s">
        <v>26</v>
      </c>
      <c r="P4" s="30" t="s">
        <v>27</v>
      </c>
      <c r="Q4" s="30" t="s">
        <v>28</v>
      </c>
      <c r="R4" s="30" t="s">
        <v>29</v>
      </c>
      <c r="S4" s="30" t="s">
        <v>30</v>
      </c>
      <c r="T4" s="30" t="s">
        <v>31</v>
      </c>
      <c r="U4" s="31" t="s">
        <v>0</v>
      </c>
      <c r="V4" s="28"/>
    </row>
    <row r="5" spans="1:22" s="27" customFormat="1" ht="13.5" customHeight="1">
      <c r="A5" s="3"/>
      <c r="B5" s="41"/>
      <c r="C5" s="28"/>
      <c r="D5" s="32">
        <f>IF(DAY(JanSun1)=1,JanSun1-7,JanSun1)</f>
        <v>41637</v>
      </c>
      <c r="E5" s="33">
        <f>IF(DAY(JanSun1)=1,JanSun1-6,JanSun1+1)</f>
        <v>41638</v>
      </c>
      <c r="F5" s="33">
        <f>IF(DAY(JanSun1)=1,JanSun1-5,JanSun1+2)</f>
        <v>41639</v>
      </c>
      <c r="G5" s="33">
        <f>IF(DAY(JanSun1)=1,JanSun1-4,JanSun1+3)</f>
        <v>41640</v>
      </c>
      <c r="H5" s="33">
        <f>IF(DAY(JanSun1)=1,JanSun1-3,JanSun1+4)</f>
        <v>41641</v>
      </c>
      <c r="I5" s="33">
        <f>IF(DAY(JanSun1)=1,JanSun1-2,JanSun1+5)</f>
        <v>41642</v>
      </c>
      <c r="J5" s="34">
        <f>IF(DAY(JanSun1)=1,JanSun1-1,JanSun1+6)</f>
        <v>41643</v>
      </c>
      <c r="K5" s="28"/>
      <c r="L5" s="42"/>
      <c r="M5" s="28"/>
      <c r="N5" s="28"/>
      <c r="O5" s="32">
        <f>IF(DAY(FebSun1)=1,FebSun1-7,FebSun1)</f>
        <v>41665</v>
      </c>
      <c r="P5" s="33">
        <f>IF(DAY(FebSun1)=1,FebSun1-6,FebSun1+1)</f>
        <v>41666</v>
      </c>
      <c r="Q5" s="33">
        <f>IF(DAY(FebSun1)=1,FebSun1-5,FebSun1+2)</f>
        <v>41667</v>
      </c>
      <c r="R5" s="33">
        <f>IF(DAY(FebSun1)=1,FebSun1-4,FebSun1+3)</f>
        <v>41668</v>
      </c>
      <c r="S5" s="35">
        <f>IF(DAY(FebSun1)=1,FebSun1-3,FebSun1+4)</f>
        <v>41669</v>
      </c>
      <c r="T5" s="33">
        <f>IF(DAY(FebSun1)=1,FebSun1-2,FebSun1+5)</f>
        <v>41670</v>
      </c>
      <c r="U5" s="34">
        <f>IF(DAY(FebSun1)=1,FebSun1-1,FebSun1+6)</f>
        <v>41671</v>
      </c>
      <c r="V5" s="28"/>
    </row>
    <row r="6" spans="1:22" s="27" customFormat="1" ht="13.5" customHeight="1">
      <c r="A6" s="3"/>
      <c r="B6" s="41"/>
      <c r="C6" s="28"/>
      <c r="D6" s="32">
        <f>IF(DAY(JanSun1)=1,JanSun1,JanSun1+7)</f>
        <v>41644</v>
      </c>
      <c r="E6" s="33">
        <f>IF(DAY(JanSun1)=1,JanSun1+1,JanSun1+8)</f>
        <v>41645</v>
      </c>
      <c r="F6" s="33">
        <f>IF(DAY(JanSun1)=1,JanSun1+2,JanSun1+9)</f>
        <v>41646</v>
      </c>
      <c r="G6" s="33">
        <f>IF(DAY(JanSun1)=1,JanSun1+3,JanSun1+10)</f>
        <v>41647</v>
      </c>
      <c r="H6" s="33">
        <f>IF(DAY(JanSun1)=1,JanSun1+4,JanSun1+11)</f>
        <v>41648</v>
      </c>
      <c r="I6" s="33">
        <f>IF(DAY(JanSun1)=1,JanSun1+5,JanSun1+12)</f>
        <v>41649</v>
      </c>
      <c r="J6" s="34">
        <f>IF(DAY(JanSun1)=1,JanSun1+6,JanSun1+13)</f>
        <v>41650</v>
      </c>
      <c r="K6" s="28"/>
      <c r="L6" s="42"/>
      <c r="M6" s="28"/>
      <c r="N6" s="28"/>
      <c r="O6" s="32">
        <f>IF(DAY(FebSun1)=1,FebSun1,FebSun1+7)</f>
        <v>41672</v>
      </c>
      <c r="P6" s="33">
        <f>IF(DAY(FebSun1)=1,FebSun1+1,FebSun1+8)</f>
        <v>41673</v>
      </c>
      <c r="Q6" s="33">
        <f>IF(DAY(FebSun1)=1,FebSun1+2,FebSun1+9)</f>
        <v>41674</v>
      </c>
      <c r="R6" s="33">
        <f>IF(DAY(FebSun1)=1,FebSun1+3,FebSun1+10)</f>
        <v>41675</v>
      </c>
      <c r="S6" s="35">
        <f>IF(DAY(FebSun1)=1,FebSun1+4,FebSun1+11)</f>
        <v>41676</v>
      </c>
      <c r="T6" s="33">
        <f>IF(DAY(FebSun1)=1,FebSun1+5,FebSun1+12)</f>
        <v>41677</v>
      </c>
      <c r="U6" s="34">
        <f>IF(DAY(FebSun1)=1,FebSun1+6,FebSun1+13)</f>
        <v>41678</v>
      </c>
      <c r="V6" s="28"/>
    </row>
    <row r="7" spans="1:22" s="27" customFormat="1" ht="13.5" customHeight="1">
      <c r="A7" s="3"/>
      <c r="B7" s="41"/>
      <c r="C7" s="28"/>
      <c r="D7" s="32">
        <f>IF(DAY(JanSun1)=1,JanSun1+7,JanSun1+14)</f>
        <v>41651</v>
      </c>
      <c r="E7" s="33">
        <f>IF(DAY(JanSun1)=1,JanSun1+8,JanSun1+15)</f>
        <v>41652</v>
      </c>
      <c r="F7" s="33">
        <f>IF(DAY(JanSun1)=1,JanSun1+9,JanSun1+16)</f>
        <v>41653</v>
      </c>
      <c r="G7" s="33">
        <f>IF(DAY(JanSun1)=1,JanSun1+10,JanSun1+17)</f>
        <v>41654</v>
      </c>
      <c r="H7" s="33">
        <f>IF(DAY(JanSun1)=1,JanSun1+11,JanSun1+18)</f>
        <v>41655</v>
      </c>
      <c r="I7" s="33">
        <f>IF(DAY(JanSun1)=1,JanSun1+12,JanSun1+19)</f>
        <v>41656</v>
      </c>
      <c r="J7" s="34">
        <f>IF(DAY(JanSun1)=1,JanSun1+13,JanSun1+20)</f>
        <v>41657</v>
      </c>
      <c r="K7" s="28"/>
      <c r="L7" s="42"/>
      <c r="M7" s="28"/>
      <c r="N7" s="28"/>
      <c r="O7" s="32">
        <f>IF(DAY(FebSun1)=1,FebSun1+7,FebSun1+14)</f>
        <v>41679</v>
      </c>
      <c r="P7" s="33">
        <f>IF(DAY(FebSun1)=1,FebSun1+8,FebSun1+15)</f>
        <v>41680</v>
      </c>
      <c r="Q7" s="33">
        <f>IF(DAY(FebSun1)=1,FebSun1+9,FebSun1+16)</f>
        <v>41681</v>
      </c>
      <c r="R7" s="33">
        <f>IF(DAY(FebSun1)=1,FebSun1+10,FebSun1+17)</f>
        <v>41682</v>
      </c>
      <c r="S7" s="35">
        <f>IF(DAY(FebSun1)=1,FebSun1+11,FebSun1+18)</f>
        <v>41683</v>
      </c>
      <c r="T7" s="33">
        <f>IF(DAY(FebSun1)=1,FebSun1+12,FebSun1+19)</f>
        <v>41684</v>
      </c>
      <c r="U7" s="34">
        <f>IF(DAY(FebSun1)=1,FebSun1+13,FebSun1+20)</f>
        <v>41685</v>
      </c>
      <c r="V7" s="28"/>
    </row>
    <row r="8" spans="1:22" s="27" customFormat="1" ht="13.5" customHeight="1">
      <c r="A8" s="3"/>
      <c r="B8" s="41"/>
      <c r="C8" s="28"/>
      <c r="D8" s="32">
        <f>IF(DAY(JanSun1)=1,JanSun1+14,JanSun1+21)</f>
        <v>41658</v>
      </c>
      <c r="E8" s="33">
        <f>IF(DAY(JanSun1)=1,JanSun1+15,JanSun1+22)</f>
        <v>41659</v>
      </c>
      <c r="F8" s="33">
        <f>IF(DAY(JanSun1)=1,JanSun1+16,JanSun1+23)</f>
        <v>41660</v>
      </c>
      <c r="G8" s="33">
        <f>IF(DAY(JanSun1)=1,JanSun1+17,JanSun1+24)</f>
        <v>41661</v>
      </c>
      <c r="H8" s="33">
        <f>IF(DAY(JanSun1)=1,JanSun1+18,JanSun1+25)</f>
        <v>41662</v>
      </c>
      <c r="I8" s="33">
        <f>IF(DAY(JanSun1)=1,JanSun1+19,JanSun1+26)</f>
        <v>41663</v>
      </c>
      <c r="J8" s="34">
        <f>IF(DAY(JanSun1)=1,JanSun1+20,JanSun1+27)</f>
        <v>41664</v>
      </c>
      <c r="K8" s="28"/>
      <c r="L8" s="42"/>
      <c r="M8" s="28"/>
      <c r="N8" s="28"/>
      <c r="O8" s="32">
        <f>IF(DAY(FebSun1)=1,FebSun1+14,FebSun1+21)</f>
        <v>41686</v>
      </c>
      <c r="P8" s="33">
        <f>IF(DAY(FebSun1)=1,FebSun1+15,FebSun1+22)</f>
        <v>41687</v>
      </c>
      <c r="Q8" s="33">
        <f>IF(DAY(FebSun1)=1,FebSun1+16,FebSun1+23)</f>
        <v>41688</v>
      </c>
      <c r="R8" s="33">
        <f>IF(DAY(FebSun1)=1,FebSun1+17,FebSun1+24)</f>
        <v>41689</v>
      </c>
      <c r="S8" s="35">
        <f>IF(DAY(FebSun1)=1,FebSun1+18,FebSun1+25)</f>
        <v>41690</v>
      </c>
      <c r="T8" s="33">
        <f>IF(DAY(FebSun1)=1,FebSun1+19,FebSun1+26)</f>
        <v>41691</v>
      </c>
      <c r="U8" s="34">
        <f>IF(DAY(FebSun1)=1,FebSun1+20,FebSun1+27)</f>
        <v>41692</v>
      </c>
      <c r="V8" s="28"/>
    </row>
    <row r="9" spans="1:22" s="27" customFormat="1" ht="13.5" customHeight="1">
      <c r="A9" s="3"/>
      <c r="B9" s="41"/>
      <c r="C9" s="28"/>
      <c r="D9" s="32">
        <f>IF(DAY(JanSun1)=1,JanSun1+21,JanSun1+28)</f>
        <v>41665</v>
      </c>
      <c r="E9" s="33">
        <f>IF(DAY(JanSun1)=1,JanSun1+22,JanSun1+29)</f>
        <v>41666</v>
      </c>
      <c r="F9" s="33">
        <f>IF(DAY(JanSun1)=1,JanSun1+23,JanSun1+30)</f>
        <v>41667</v>
      </c>
      <c r="G9" s="33">
        <f>IF(DAY(JanSun1)=1,JanSun1+24,JanSun1+31)</f>
        <v>41668</v>
      </c>
      <c r="H9" s="33">
        <f>IF(DAY(JanSun1)=1,JanSun1+25,JanSun1+32)</f>
        <v>41669</v>
      </c>
      <c r="I9" s="33">
        <f>IF(DAY(JanSun1)=1,JanSun1+26,JanSun1+33)</f>
        <v>41670</v>
      </c>
      <c r="J9" s="34">
        <f>IF(DAY(JanSun1)=1,JanSun1+27,JanSun1+34)</f>
        <v>41671</v>
      </c>
      <c r="K9" s="28"/>
      <c r="L9" s="42"/>
      <c r="M9" s="28"/>
      <c r="N9" s="28"/>
      <c r="O9" s="32">
        <f>IF(DAY(FebSun1)=1,FebSun1+21,FebSun1+28)</f>
        <v>41693</v>
      </c>
      <c r="P9" s="33">
        <f>IF(DAY(FebSun1)=1,FebSun1+22,FebSun1+29)</f>
        <v>41694</v>
      </c>
      <c r="Q9" s="33">
        <f>IF(DAY(FebSun1)=1,FebSun1+23,FebSun1+30)</f>
        <v>41695</v>
      </c>
      <c r="R9" s="33">
        <f>IF(DAY(FebSun1)=1,FebSun1+24,FebSun1+31)</f>
        <v>41696</v>
      </c>
      <c r="S9" s="35">
        <f>IF(DAY(FebSun1)=1,FebSun1+25,FebSun1+32)</f>
        <v>41697</v>
      </c>
      <c r="T9" s="33">
        <f>IF(DAY(FebSun1)=1,FebSun1+26,FebSun1+33)</f>
        <v>41698</v>
      </c>
      <c r="U9" s="34">
        <f>IF(DAY(FebSun1)=1,FebSun1+27,FebSun1+34)</f>
        <v>41699</v>
      </c>
      <c r="V9" s="28"/>
    </row>
    <row r="10" spans="1:22" s="27" customFormat="1" ht="13.5" customHeight="1">
      <c r="A10" s="3"/>
      <c r="B10" s="41"/>
      <c r="C10" s="28"/>
      <c r="D10" s="32">
        <f>IF(DAY(JanSun1)=1,JanSun1+28,JanSun1+35)</f>
        <v>41672</v>
      </c>
      <c r="E10" s="33">
        <f>IF(DAY(JanSun1)=1,JanSun1+29,JanSun1+36)</f>
        <v>41673</v>
      </c>
      <c r="F10" s="33">
        <f>IF(DAY(JanSun1)=1,JanSun1+30,JanSun1+37)</f>
        <v>41674</v>
      </c>
      <c r="G10" s="33">
        <f>IF(DAY(JanSun1)=1,JanSun1+31,JanSun1+38)</f>
        <v>41675</v>
      </c>
      <c r="H10" s="33">
        <f>IF(DAY(JanSun1)=1,JanSun1+32,JanSun1+39)</f>
        <v>41676</v>
      </c>
      <c r="I10" s="33">
        <f>IF(DAY(JanSun1)=1,JanSun1+33,JanSun1+40)</f>
        <v>41677</v>
      </c>
      <c r="J10" s="34">
        <f>IF(DAY(JanSun1)=1,JanSun1+34,JanSun1+41)</f>
        <v>41678</v>
      </c>
      <c r="K10" s="28"/>
      <c r="L10" s="42"/>
      <c r="M10" s="28"/>
      <c r="N10" s="28"/>
      <c r="O10" s="32">
        <f>IF(DAY(FebSun1)=1,FebSun1+28,FebSun1+35)</f>
        <v>41700</v>
      </c>
      <c r="P10" s="33">
        <f>IF(DAY(FebSun1)=1,FebSun1+29,FebSun1+36)</f>
        <v>41701</v>
      </c>
      <c r="Q10" s="33">
        <f>IF(DAY(FebSun1)=1,FebSun1+30,FebSun1+37)</f>
        <v>41702</v>
      </c>
      <c r="R10" s="33">
        <f>IF(DAY(FebSun1)=1,FebSun1+31,FebSun1+38)</f>
        <v>41703</v>
      </c>
      <c r="S10" s="35">
        <f>IF(DAY(FebSun1)=1,FebSun1+32,FebSun1+39)</f>
        <v>41704</v>
      </c>
      <c r="T10" s="33">
        <f>IF(DAY(FebSun1)=1,FebSun1+33,FebSun1+40)</f>
        <v>41705</v>
      </c>
      <c r="U10" s="34">
        <f>IF(DAY(FebSun1)=1,FebSun1+34,FebSun1+41)</f>
        <v>41706</v>
      </c>
      <c r="V10" s="28"/>
    </row>
    <row r="11" spans="1:22" s="27" customFormat="1" ht="7.5" customHeight="1">
      <c r="A11" s="3"/>
      <c r="B11" s="41"/>
      <c r="C11" s="28"/>
      <c r="D11" s="36"/>
      <c r="E11" s="36"/>
      <c r="F11" s="36"/>
      <c r="G11" s="36"/>
      <c r="H11" s="36"/>
      <c r="I11" s="36"/>
      <c r="J11" s="36"/>
      <c r="K11" s="28"/>
      <c r="L11" s="42"/>
      <c r="M11" s="28"/>
      <c r="N11" s="28"/>
      <c r="O11" s="36"/>
      <c r="P11" s="36"/>
      <c r="Q11" s="36"/>
      <c r="R11" s="36"/>
      <c r="S11" s="36"/>
      <c r="T11" s="36"/>
      <c r="U11" s="36"/>
      <c r="V11" s="28"/>
    </row>
    <row r="12" spans="1:22" s="27" customFormat="1" ht="3.75" customHeight="1">
      <c r="A12" s="3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s="27" customFormat="1" ht="7.5" customHeight="1">
      <c r="A13" s="3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42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22" s="27" customFormat="1" ht="9.75" customHeight="1">
      <c r="A14" s="3"/>
      <c r="B14" s="28"/>
      <c r="C14" s="28"/>
      <c r="D14" s="29" t="s">
        <v>26</v>
      </c>
      <c r="E14" s="30" t="s">
        <v>27</v>
      </c>
      <c r="F14" s="30" t="s">
        <v>28</v>
      </c>
      <c r="G14" s="30" t="s">
        <v>29</v>
      </c>
      <c r="H14" s="30" t="s">
        <v>30</v>
      </c>
      <c r="I14" s="30" t="s">
        <v>31</v>
      </c>
      <c r="J14" s="31" t="s">
        <v>0</v>
      </c>
      <c r="K14" s="28"/>
      <c r="L14" s="42"/>
      <c r="M14" s="28"/>
      <c r="N14" s="28"/>
      <c r="O14" s="29" t="s">
        <v>26</v>
      </c>
      <c r="P14" s="30" t="s">
        <v>27</v>
      </c>
      <c r="Q14" s="30" t="s">
        <v>28</v>
      </c>
      <c r="R14" s="30" t="s">
        <v>29</v>
      </c>
      <c r="S14" s="30" t="s">
        <v>30</v>
      </c>
      <c r="T14" s="30" t="s">
        <v>31</v>
      </c>
      <c r="U14" s="31" t="s">
        <v>0</v>
      </c>
      <c r="V14" s="28"/>
    </row>
    <row r="15" spans="1:22" s="27" customFormat="1" ht="13.5" customHeight="1">
      <c r="A15" s="3"/>
      <c r="B15" s="28"/>
      <c r="C15" s="28"/>
      <c r="D15" s="32">
        <f>IF(DAY(MarSun1)=1,MarSun1-7,MarSun1)</f>
        <v>41693</v>
      </c>
      <c r="E15" s="33">
        <f>IF(DAY(MarSun1)=1,MarSun1-6,MarSun1+1)</f>
        <v>41694</v>
      </c>
      <c r="F15" s="33">
        <f>IF(DAY(MarSun1)=1,MarSun1-5,MarSun1+2)</f>
        <v>41695</v>
      </c>
      <c r="G15" s="33">
        <f>IF(DAY(MarSun1)=1,MarSun1-4,MarSun1+3)</f>
        <v>41696</v>
      </c>
      <c r="H15" s="33">
        <f>IF(DAY(MarSun1)=1,MarSun1-3,MarSun1+4)</f>
        <v>41697</v>
      </c>
      <c r="I15" s="33">
        <f>IF(DAY(MarSun1)=1,MarSun1-2,MarSun1+5)</f>
        <v>41698</v>
      </c>
      <c r="J15" s="34">
        <f>IF(DAY(MarSun1)=1,MarSun1-1,MarSun1+6)</f>
        <v>41699</v>
      </c>
      <c r="K15" s="28"/>
      <c r="L15" s="42"/>
      <c r="M15" s="28"/>
      <c r="N15" s="28"/>
      <c r="O15" s="32">
        <f>IF(DAY(AprSun1)=1,AprSun1-7,AprSun1)</f>
        <v>41728</v>
      </c>
      <c r="P15" s="33">
        <f>IF(DAY(AprSun1)=1,AprSun1-6,AprSun1+1)</f>
        <v>41729</v>
      </c>
      <c r="Q15" s="33">
        <f>IF(DAY(AprSun1)=1,AprSun1-5,AprSun1+2)</f>
        <v>41730</v>
      </c>
      <c r="R15" s="33">
        <f>IF(DAY(AprSun1)=1,AprSun1-4,AprSun1+3)</f>
        <v>41731</v>
      </c>
      <c r="S15" s="33">
        <f>IF(DAY(AprSun1)=1,AprSun1-3,AprSun1+4)</f>
        <v>41732</v>
      </c>
      <c r="T15" s="33">
        <f>IF(DAY(AprSun1)=1,AprSun1-2,AprSun1+5)</f>
        <v>41733</v>
      </c>
      <c r="U15" s="34">
        <f>IF(DAY(AprSun1)=1,AprSun1-1,AprSun1+6)</f>
        <v>41734</v>
      </c>
      <c r="V15" s="28"/>
    </row>
    <row r="16" spans="1:22" s="27" customFormat="1" ht="13.5" customHeight="1">
      <c r="A16" s="3"/>
      <c r="B16" s="28"/>
      <c r="C16" s="28"/>
      <c r="D16" s="32">
        <f>IF(DAY(MarSun1)=1,MarSun1,MarSun1+7)</f>
        <v>41700</v>
      </c>
      <c r="E16" s="33">
        <f>IF(DAY(MarSun1)=1,MarSun1+1,MarSun1+8)</f>
        <v>41701</v>
      </c>
      <c r="F16" s="33">
        <f>IF(DAY(MarSun1)=1,MarSun1+2,MarSun1+9)</f>
        <v>41702</v>
      </c>
      <c r="G16" s="33">
        <f>IF(DAY(MarSun1)=1,MarSun1+3,MarSun1+10)</f>
        <v>41703</v>
      </c>
      <c r="H16" s="33">
        <f>IF(DAY(MarSun1)=1,MarSun1+4,MarSun1+11)</f>
        <v>41704</v>
      </c>
      <c r="I16" s="33">
        <f>IF(DAY(MarSun1)=1,MarSun1+5,MarSun1+12)</f>
        <v>41705</v>
      </c>
      <c r="J16" s="34">
        <f>IF(DAY(MarSun1)=1,MarSun1+6,MarSun1+13)</f>
        <v>41706</v>
      </c>
      <c r="K16" s="28"/>
      <c r="L16" s="42"/>
      <c r="M16" s="28"/>
      <c r="N16" s="28"/>
      <c r="O16" s="32">
        <f>IF(DAY(AprSun1)=1,AprSun1,AprSun1+7)</f>
        <v>41735</v>
      </c>
      <c r="P16" s="33">
        <f>IF(DAY(AprSun1)=1,AprSun1+1,AprSun1+8)</f>
        <v>41736</v>
      </c>
      <c r="Q16" s="33">
        <f>IF(DAY(AprSun1)=1,AprSun1+2,AprSun1+9)</f>
        <v>41737</v>
      </c>
      <c r="R16" s="33">
        <f>IF(DAY(AprSun1)=1,AprSun1+3,AprSun1+10)</f>
        <v>41738</v>
      </c>
      <c r="S16" s="33">
        <f>IF(DAY(AprSun1)=1,AprSun1+4,AprSun1+11)</f>
        <v>41739</v>
      </c>
      <c r="T16" s="33">
        <f>IF(DAY(AprSun1)=1,AprSun1+5,AprSun1+12)</f>
        <v>41740</v>
      </c>
      <c r="U16" s="34">
        <f>IF(DAY(AprSun1)=1,AprSun1+6,AprSun1+13)</f>
        <v>41741</v>
      </c>
      <c r="V16" s="28"/>
    </row>
    <row r="17" spans="1:22" s="27" customFormat="1" ht="13.5" customHeight="1">
      <c r="A17" s="3"/>
      <c r="B17" s="28"/>
      <c r="C17" s="28"/>
      <c r="D17" s="32">
        <f>IF(DAY(MarSun1)=1,MarSun1+7,MarSun1+14)</f>
        <v>41707</v>
      </c>
      <c r="E17" s="33">
        <f>IF(DAY(MarSun1)=1,MarSun1+8,MarSun1+15)</f>
        <v>41708</v>
      </c>
      <c r="F17" s="33">
        <f>IF(DAY(MarSun1)=1,MarSun1+9,MarSun1+16)</f>
        <v>41709</v>
      </c>
      <c r="G17" s="33">
        <f>IF(DAY(MarSun1)=1,MarSun1+10,MarSun1+17)</f>
        <v>41710</v>
      </c>
      <c r="H17" s="33">
        <f>IF(DAY(MarSun1)=1,MarSun1+11,MarSun1+18)</f>
        <v>41711</v>
      </c>
      <c r="I17" s="33">
        <f>IF(DAY(MarSun1)=1,MarSun1+12,MarSun1+19)</f>
        <v>41712</v>
      </c>
      <c r="J17" s="34">
        <f>IF(DAY(MarSun1)=1,MarSun1+13,MarSun1+20)</f>
        <v>41713</v>
      </c>
      <c r="K17" s="28"/>
      <c r="L17" s="42"/>
      <c r="M17" s="28"/>
      <c r="N17" s="28"/>
      <c r="O17" s="32">
        <f>IF(DAY(AprSun1)=1,AprSun1+7,AprSun1+14)</f>
        <v>41742</v>
      </c>
      <c r="P17" s="33">
        <f>IF(DAY(AprSun1)=1,AprSun1+8,AprSun1+15)</f>
        <v>41743</v>
      </c>
      <c r="Q17" s="33">
        <f>IF(DAY(AprSun1)=1,AprSun1+9,AprSun1+16)</f>
        <v>41744</v>
      </c>
      <c r="R17" s="33">
        <f>IF(DAY(AprSun1)=1,AprSun1+10,AprSun1+17)</f>
        <v>41745</v>
      </c>
      <c r="S17" s="33">
        <f>IF(DAY(AprSun1)=1,AprSun1+11,AprSun1+18)</f>
        <v>41746</v>
      </c>
      <c r="T17" s="33">
        <f>IF(DAY(AprSun1)=1,AprSun1+12,AprSun1+19)</f>
        <v>41747</v>
      </c>
      <c r="U17" s="34">
        <f>IF(DAY(AprSun1)=1,AprSun1+13,AprSun1+20)</f>
        <v>41748</v>
      </c>
      <c r="V17" s="28"/>
    </row>
    <row r="18" spans="1:22" s="27" customFormat="1" ht="13.5" customHeight="1">
      <c r="A18" s="3"/>
      <c r="B18" s="28"/>
      <c r="C18" s="28"/>
      <c r="D18" s="32">
        <f>IF(DAY(MarSun1)=1,MarSun1+14,MarSun1+21)</f>
        <v>41714</v>
      </c>
      <c r="E18" s="33">
        <f>IF(DAY(MarSun1)=1,MarSun1+15,MarSun1+22)</f>
        <v>41715</v>
      </c>
      <c r="F18" s="33">
        <f>IF(DAY(MarSun1)=1,MarSun1+16,MarSun1+23)</f>
        <v>41716</v>
      </c>
      <c r="G18" s="33">
        <f>IF(DAY(MarSun1)=1,MarSun1+17,MarSun1+24)</f>
        <v>41717</v>
      </c>
      <c r="H18" s="33">
        <f>IF(DAY(MarSun1)=1,MarSun1+18,MarSun1+25)</f>
        <v>41718</v>
      </c>
      <c r="I18" s="33">
        <f>IF(DAY(MarSun1)=1,MarSun1+19,MarSun1+26)</f>
        <v>41719</v>
      </c>
      <c r="J18" s="34">
        <f>IF(DAY(MarSun1)=1,MarSun1+20,MarSun1+27)</f>
        <v>41720</v>
      </c>
      <c r="K18" s="28"/>
      <c r="L18" s="42"/>
      <c r="M18" s="28"/>
      <c r="N18" s="28"/>
      <c r="O18" s="32">
        <f>IF(DAY(AprSun1)=1,AprSun1+14,AprSun1+21)</f>
        <v>41749</v>
      </c>
      <c r="P18" s="33">
        <f>IF(DAY(AprSun1)=1,AprSun1+15,AprSun1+22)</f>
        <v>41750</v>
      </c>
      <c r="Q18" s="33">
        <f>IF(DAY(AprSun1)=1,AprSun1+16,AprSun1+23)</f>
        <v>41751</v>
      </c>
      <c r="R18" s="33">
        <f>IF(DAY(AprSun1)=1,AprSun1+17,AprSun1+24)</f>
        <v>41752</v>
      </c>
      <c r="S18" s="33">
        <f>IF(DAY(AprSun1)=1,AprSun1+18,AprSun1+25)</f>
        <v>41753</v>
      </c>
      <c r="T18" s="33">
        <f>IF(DAY(AprSun1)=1,AprSun1+19,AprSun1+26)</f>
        <v>41754</v>
      </c>
      <c r="U18" s="34">
        <f>IF(DAY(AprSun1)=1,AprSun1+20,AprSun1+27)</f>
        <v>41755</v>
      </c>
      <c r="V18" s="28"/>
    </row>
    <row r="19" spans="1:22" s="27" customFormat="1" ht="13.5" customHeight="1">
      <c r="A19" s="3"/>
      <c r="B19" s="28"/>
      <c r="C19" s="28"/>
      <c r="D19" s="32">
        <f>IF(DAY(MarSun1)=1,MarSun1+21,MarSun1+28)</f>
        <v>41721</v>
      </c>
      <c r="E19" s="33">
        <f>IF(DAY(MarSun1)=1,MarSun1+22,MarSun1+29)</f>
        <v>41722</v>
      </c>
      <c r="F19" s="33">
        <f>IF(DAY(MarSun1)=1,MarSun1+23,MarSun1+30)</f>
        <v>41723</v>
      </c>
      <c r="G19" s="33">
        <f>IF(DAY(MarSun1)=1,MarSun1+24,MarSun1+31)</f>
        <v>41724</v>
      </c>
      <c r="H19" s="33">
        <f>IF(DAY(MarSun1)=1,MarSun1+25,MarSun1+32)</f>
        <v>41725</v>
      </c>
      <c r="I19" s="33">
        <f>IF(DAY(MarSun1)=1,MarSun1+26,MarSun1+33)</f>
        <v>41726</v>
      </c>
      <c r="J19" s="34">
        <f>IF(DAY(MarSun1)=1,MarSun1+27,MarSun1+34)</f>
        <v>41727</v>
      </c>
      <c r="K19" s="28"/>
      <c r="L19" s="42"/>
      <c r="M19" s="28"/>
      <c r="N19" s="28"/>
      <c r="O19" s="32">
        <f>IF(DAY(AprSun1)=1,AprSun1+21,AprSun1+28)</f>
        <v>41756</v>
      </c>
      <c r="P19" s="33">
        <f>IF(DAY(AprSun1)=1,AprSun1+22,AprSun1+29)</f>
        <v>41757</v>
      </c>
      <c r="Q19" s="33">
        <f>IF(DAY(AprSun1)=1,AprSun1+23,AprSun1+30)</f>
        <v>41758</v>
      </c>
      <c r="R19" s="33">
        <f>IF(DAY(AprSun1)=1,AprSun1+24,AprSun1+31)</f>
        <v>41759</v>
      </c>
      <c r="S19" s="33">
        <f>IF(DAY(AprSun1)=1,AprSun1+25,AprSun1+32)</f>
        <v>41760</v>
      </c>
      <c r="T19" s="33">
        <f>IF(DAY(AprSun1)=1,AprSun1+26,AprSun1+33)</f>
        <v>41761</v>
      </c>
      <c r="U19" s="34">
        <f>IF(DAY(AprSun1)=1,AprSun1+27,AprSun1+34)</f>
        <v>41762</v>
      </c>
      <c r="V19" s="28"/>
    </row>
    <row r="20" spans="1:22" s="27" customFormat="1" ht="13.5" customHeight="1">
      <c r="A20" s="3"/>
      <c r="B20" s="28"/>
      <c r="C20" s="28"/>
      <c r="D20" s="32">
        <f>IF(DAY(MarSun1)=1,MarSun1+28,MarSun1+35)</f>
        <v>41728</v>
      </c>
      <c r="E20" s="33">
        <f>IF(DAY(MarSun1)=1,MarSun1+29,MarSun1+36)</f>
        <v>41729</v>
      </c>
      <c r="F20" s="33">
        <f>IF(DAY(MarSun1)=1,MarSun1+30,MarSun1+37)</f>
        <v>41730</v>
      </c>
      <c r="G20" s="33">
        <f>IF(DAY(MarSun1)=1,MarSun1+31,MarSun1+38)</f>
        <v>41731</v>
      </c>
      <c r="H20" s="33">
        <f>IF(DAY(MarSun1)=1,MarSun1+32,MarSun1+39)</f>
        <v>41732</v>
      </c>
      <c r="I20" s="33">
        <f>IF(DAY(MarSun1)=1,MarSun1+33,MarSun1+40)</f>
        <v>41733</v>
      </c>
      <c r="J20" s="34">
        <f>IF(DAY(MarSun1)=1,MarSun1+34,MarSun1+41)</f>
        <v>41734</v>
      </c>
      <c r="K20" s="28"/>
      <c r="L20" s="42"/>
      <c r="M20" s="28"/>
      <c r="N20" s="28"/>
      <c r="O20" s="32">
        <f>IF(DAY(AprSun1)=1,AprSun1+28,AprSun1+35)</f>
        <v>41763</v>
      </c>
      <c r="P20" s="33">
        <f>IF(DAY(AprSun1)=1,AprSun1+29,AprSun1+36)</f>
        <v>41764</v>
      </c>
      <c r="Q20" s="33">
        <f>IF(DAY(AprSun1)=1,AprSun1+30,AprSun1+37)</f>
        <v>41765</v>
      </c>
      <c r="R20" s="33">
        <f>IF(DAY(AprSun1)=1,AprSun1+31,AprSun1+38)</f>
        <v>41766</v>
      </c>
      <c r="S20" s="33">
        <f>IF(DAY(AprSun1)=1,AprSun1+32,AprSun1+39)</f>
        <v>41767</v>
      </c>
      <c r="T20" s="33">
        <f>IF(DAY(AprSun1)=1,AprSun1+33,AprSun1+40)</f>
        <v>41768</v>
      </c>
      <c r="U20" s="34">
        <f>IF(DAY(AprSun1)=1,AprSun1+34,AprSun1+41)</f>
        <v>41769</v>
      </c>
      <c r="V20" s="28"/>
    </row>
    <row r="21" spans="1:22" s="27" customFormat="1" ht="7.5" customHeight="1">
      <c r="A21" s="3"/>
      <c r="B21" s="28"/>
      <c r="C21" s="28"/>
      <c r="D21" s="36"/>
      <c r="E21" s="36"/>
      <c r="F21" s="36"/>
      <c r="G21" s="36"/>
      <c r="H21" s="36"/>
      <c r="I21" s="36"/>
      <c r="J21" s="36"/>
      <c r="K21" s="28"/>
      <c r="L21" s="42"/>
      <c r="M21" s="28"/>
      <c r="N21" s="28"/>
      <c r="O21" s="37"/>
      <c r="P21" s="37"/>
      <c r="Q21" s="37"/>
      <c r="R21" s="37"/>
      <c r="S21" s="37"/>
      <c r="T21" s="37"/>
      <c r="U21" s="37"/>
      <c r="V21" s="28"/>
    </row>
    <row r="22" spans="1:22" s="27" customFormat="1" ht="3.75" customHeight="1">
      <c r="A22" s="3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27" customFormat="1" ht="7.5" customHeight="1">
      <c r="A23" s="3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42"/>
      <c r="M23" s="28"/>
      <c r="N23" s="28"/>
      <c r="O23" s="28"/>
      <c r="P23" s="28"/>
      <c r="Q23" s="28"/>
      <c r="R23" s="28"/>
      <c r="S23" s="28"/>
      <c r="T23" s="28"/>
      <c r="U23" s="28"/>
      <c r="V23" s="28"/>
    </row>
    <row r="24" spans="1:22" s="27" customFormat="1" ht="9.75" customHeight="1">
      <c r="A24" s="3"/>
      <c r="B24" s="28"/>
      <c r="C24" s="28"/>
      <c r="D24" s="29" t="s">
        <v>26</v>
      </c>
      <c r="E24" s="30" t="s">
        <v>27</v>
      </c>
      <c r="F24" s="30" t="s">
        <v>28</v>
      </c>
      <c r="G24" s="30" t="s">
        <v>29</v>
      </c>
      <c r="H24" s="30" t="s">
        <v>30</v>
      </c>
      <c r="I24" s="30" t="s">
        <v>31</v>
      </c>
      <c r="J24" s="31" t="s">
        <v>0</v>
      </c>
      <c r="K24" s="28"/>
      <c r="L24" s="42"/>
      <c r="M24" s="28"/>
      <c r="N24" s="28"/>
      <c r="O24" s="29" t="s">
        <v>26</v>
      </c>
      <c r="P24" s="30" t="s">
        <v>27</v>
      </c>
      <c r="Q24" s="30" t="s">
        <v>28</v>
      </c>
      <c r="R24" s="30" t="s">
        <v>29</v>
      </c>
      <c r="S24" s="30" t="s">
        <v>30</v>
      </c>
      <c r="T24" s="30" t="s">
        <v>31</v>
      </c>
      <c r="U24" s="31" t="s">
        <v>0</v>
      </c>
      <c r="V24" s="28"/>
    </row>
    <row r="25" spans="1:22" s="27" customFormat="1" ht="13.5" customHeight="1">
      <c r="A25" s="3"/>
      <c r="B25" s="28"/>
      <c r="C25" s="28"/>
      <c r="D25" s="32">
        <f>IF(DAY(MaySun1)=1,MaySun1-7,MaySun1)</f>
        <v>41756</v>
      </c>
      <c r="E25" s="33">
        <f>IF(DAY(MaySun1)=1,MaySun1-6,MaySun1+1)</f>
        <v>41757</v>
      </c>
      <c r="F25" s="33">
        <f>IF(DAY(MaySun1)=1,MaySun1-5,MaySun1+2)</f>
        <v>41758</v>
      </c>
      <c r="G25" s="33">
        <f>IF(DAY(MaySun1)=1,MaySun1-4,MaySun1+3)</f>
        <v>41759</v>
      </c>
      <c r="H25" s="33">
        <f>IF(DAY(MaySun1)=1,MaySun1-3,MaySun1+4)</f>
        <v>41760</v>
      </c>
      <c r="I25" s="33">
        <f>IF(DAY(MaySun1)=1,MaySun1-2,MaySun1+5)</f>
        <v>41761</v>
      </c>
      <c r="J25" s="34">
        <f>IF(DAY(MaySun1)=1,MaySun1-1,MaySun1+6)</f>
        <v>41762</v>
      </c>
      <c r="K25" s="28"/>
      <c r="L25" s="42"/>
      <c r="M25" s="28"/>
      <c r="N25" s="28"/>
      <c r="O25" s="32">
        <f>IF(DAY(JunSun1)=1,JunSun1-7,JunSun1)</f>
        <v>41784</v>
      </c>
      <c r="P25" s="33">
        <f>IF(DAY(JunSun1)=1,JunSun1-6,JunSun1+1)</f>
        <v>41785</v>
      </c>
      <c r="Q25" s="33">
        <f>IF(DAY(JunSun1)=1,JunSun1-5,JunSun1+2)</f>
        <v>41786</v>
      </c>
      <c r="R25" s="33">
        <f>IF(DAY(JunSun1)=1,JunSun1-4,JunSun1+3)</f>
        <v>41787</v>
      </c>
      <c r="S25" s="33">
        <f>IF(DAY(JunSun1)=1,JunSun1-3,JunSun1+4)</f>
        <v>41788</v>
      </c>
      <c r="T25" s="33">
        <f>IF(DAY(JunSun1)=1,JunSun1-2,JunSun1+5)</f>
        <v>41789</v>
      </c>
      <c r="U25" s="34">
        <f>IF(DAY(JunSun1)=1,JunSun1-1,JunSun1+6)</f>
        <v>41790</v>
      </c>
      <c r="V25" s="28"/>
    </row>
    <row r="26" spans="1:22" s="27" customFormat="1" ht="13.5" customHeight="1">
      <c r="A26" s="3"/>
      <c r="B26" s="28"/>
      <c r="C26" s="28"/>
      <c r="D26" s="32">
        <f>IF(DAY(MaySun1)=1,MaySun1,MaySun1+7)</f>
        <v>41763</v>
      </c>
      <c r="E26" s="33">
        <f>IF(DAY(MaySun1)=1,MaySun1+1,MaySun1+8)</f>
        <v>41764</v>
      </c>
      <c r="F26" s="33">
        <f>IF(DAY(MaySun1)=1,MaySun1+2,MaySun1+9)</f>
        <v>41765</v>
      </c>
      <c r="G26" s="33">
        <f>IF(DAY(MaySun1)=1,MaySun1+3,MaySun1+10)</f>
        <v>41766</v>
      </c>
      <c r="H26" s="33">
        <f>IF(DAY(MaySun1)=1,MaySun1+4,MaySun1+11)</f>
        <v>41767</v>
      </c>
      <c r="I26" s="33">
        <f>IF(DAY(MaySun1)=1,MaySun1+5,MaySun1+12)</f>
        <v>41768</v>
      </c>
      <c r="J26" s="34">
        <f>IF(DAY(MaySun1)=1,MaySun1+6,MaySun1+13)</f>
        <v>41769</v>
      </c>
      <c r="K26" s="28"/>
      <c r="L26" s="42"/>
      <c r="M26" s="28"/>
      <c r="N26" s="28"/>
      <c r="O26" s="32">
        <f>IF(DAY(JunSun1)=1,JunSun1,JunSun1+7)</f>
        <v>41791</v>
      </c>
      <c r="P26" s="33">
        <f>IF(DAY(JunSun1)=1,JunSun1+1,JunSun1+8)</f>
        <v>41792</v>
      </c>
      <c r="Q26" s="33">
        <f>IF(DAY(JunSun1)=1,JunSun1+2,JunSun1+9)</f>
        <v>41793</v>
      </c>
      <c r="R26" s="33">
        <f>IF(DAY(JunSun1)=1,JunSun1+3,JunSun1+10)</f>
        <v>41794</v>
      </c>
      <c r="S26" s="33">
        <f>IF(DAY(JunSun1)=1,JunSun1+4,JunSun1+11)</f>
        <v>41795</v>
      </c>
      <c r="T26" s="33">
        <f>IF(DAY(JunSun1)=1,JunSun1+5,JunSun1+12)</f>
        <v>41796</v>
      </c>
      <c r="U26" s="34">
        <f>IF(DAY(JunSun1)=1,JunSun1+6,JunSun1+13)</f>
        <v>41797</v>
      </c>
      <c r="V26" s="28"/>
    </row>
    <row r="27" spans="1:22" s="27" customFormat="1" ht="13.5" customHeight="1">
      <c r="A27" s="3"/>
      <c r="B27" s="28"/>
      <c r="C27" s="28"/>
      <c r="D27" s="32">
        <f>IF(DAY(MaySun1)=1,MaySun1+7,MaySun1+14)</f>
        <v>41770</v>
      </c>
      <c r="E27" s="33">
        <f>IF(DAY(MaySun1)=1,MaySun1+8,MaySun1+15)</f>
        <v>41771</v>
      </c>
      <c r="F27" s="33">
        <f>IF(DAY(MaySun1)=1,MaySun1+9,MaySun1+16)</f>
        <v>41772</v>
      </c>
      <c r="G27" s="33">
        <f>IF(DAY(MaySun1)=1,MaySun1+10,MaySun1+17)</f>
        <v>41773</v>
      </c>
      <c r="H27" s="33">
        <f>IF(DAY(MaySun1)=1,MaySun1+11,MaySun1+18)</f>
        <v>41774</v>
      </c>
      <c r="I27" s="33">
        <f>IF(DAY(MaySun1)=1,MaySun1+12,MaySun1+19)</f>
        <v>41775</v>
      </c>
      <c r="J27" s="34">
        <f>IF(DAY(MaySun1)=1,MaySun1+13,MaySun1+20)</f>
        <v>41776</v>
      </c>
      <c r="K27" s="28"/>
      <c r="L27" s="42"/>
      <c r="M27" s="28"/>
      <c r="N27" s="28"/>
      <c r="O27" s="32">
        <f>IF(DAY(JunSun1)=1,JunSun1+7,JunSun1+14)</f>
        <v>41798</v>
      </c>
      <c r="P27" s="33">
        <f>IF(DAY(JunSun1)=1,JunSun1+8,JunSun1+15)</f>
        <v>41799</v>
      </c>
      <c r="Q27" s="33">
        <f>IF(DAY(JunSun1)=1,JunSun1+9,JunSun1+16)</f>
        <v>41800</v>
      </c>
      <c r="R27" s="33">
        <f>IF(DAY(JunSun1)=1,JunSun1+10,JunSun1+17)</f>
        <v>41801</v>
      </c>
      <c r="S27" s="33">
        <f>IF(DAY(JunSun1)=1,JunSun1+11,JunSun1+18)</f>
        <v>41802</v>
      </c>
      <c r="T27" s="33">
        <f>IF(DAY(JunSun1)=1,JunSun1+12,JunSun1+19)</f>
        <v>41803</v>
      </c>
      <c r="U27" s="34">
        <f>IF(DAY(JunSun1)=1,JunSun1+13,JunSun1+20)</f>
        <v>41804</v>
      </c>
      <c r="V27" s="28"/>
    </row>
    <row r="28" spans="1:22" s="27" customFormat="1" ht="13.5" customHeight="1">
      <c r="A28" s="3"/>
      <c r="B28" s="28"/>
      <c r="C28" s="28"/>
      <c r="D28" s="32">
        <f>IF(DAY(MaySun1)=1,MaySun1+14,MaySun1+21)</f>
        <v>41777</v>
      </c>
      <c r="E28" s="33">
        <f>IF(DAY(MaySun1)=1,MaySun1+15,MaySun1+22)</f>
        <v>41778</v>
      </c>
      <c r="F28" s="33">
        <f>IF(DAY(MaySun1)=1,MaySun1+16,MaySun1+23)</f>
        <v>41779</v>
      </c>
      <c r="G28" s="33">
        <f>IF(DAY(MaySun1)=1,MaySun1+17,MaySun1+24)</f>
        <v>41780</v>
      </c>
      <c r="H28" s="33">
        <f>IF(DAY(MaySun1)=1,MaySun1+18,MaySun1+25)</f>
        <v>41781</v>
      </c>
      <c r="I28" s="33">
        <f>IF(DAY(MaySun1)=1,MaySun1+19,MaySun1+26)</f>
        <v>41782</v>
      </c>
      <c r="J28" s="34">
        <f>IF(DAY(MaySun1)=1,MaySun1+20,MaySun1+27)</f>
        <v>41783</v>
      </c>
      <c r="K28" s="28"/>
      <c r="L28" s="42"/>
      <c r="M28" s="28"/>
      <c r="N28" s="28"/>
      <c r="O28" s="32">
        <f>IF(DAY(JunSun1)=1,JunSun1+14,JunSun1+21)</f>
        <v>41805</v>
      </c>
      <c r="P28" s="33">
        <f>IF(DAY(JunSun1)=1,JunSun1+15,JunSun1+22)</f>
        <v>41806</v>
      </c>
      <c r="Q28" s="33">
        <f>IF(DAY(JunSun1)=1,JunSun1+16,JunSun1+23)</f>
        <v>41807</v>
      </c>
      <c r="R28" s="33">
        <f>IF(DAY(JunSun1)=1,JunSun1+17,JunSun1+24)</f>
        <v>41808</v>
      </c>
      <c r="S28" s="33">
        <f>IF(DAY(JunSun1)=1,JunSun1+18,JunSun1+25)</f>
        <v>41809</v>
      </c>
      <c r="T28" s="33">
        <f>IF(DAY(JunSun1)=1,JunSun1+19,JunSun1+26)</f>
        <v>41810</v>
      </c>
      <c r="U28" s="34">
        <f>IF(DAY(JunSun1)=1,JunSun1+20,JunSun1+27)</f>
        <v>41811</v>
      </c>
      <c r="V28" s="28"/>
    </row>
    <row r="29" spans="1:22" s="27" customFormat="1" ht="13.5" customHeight="1">
      <c r="A29" s="3"/>
      <c r="B29" s="28"/>
      <c r="C29" s="28"/>
      <c r="D29" s="32">
        <f>IF(DAY(MaySun1)=1,MaySun1+21,MaySun1+28)</f>
        <v>41784</v>
      </c>
      <c r="E29" s="33">
        <f>IF(DAY(MaySun1)=1,MaySun1+22,MaySun1+29)</f>
        <v>41785</v>
      </c>
      <c r="F29" s="33">
        <f>IF(DAY(MaySun1)=1,MaySun1+23,MaySun1+30)</f>
        <v>41786</v>
      </c>
      <c r="G29" s="33">
        <f>IF(DAY(MaySun1)=1,MaySun1+24,MaySun1+31)</f>
        <v>41787</v>
      </c>
      <c r="H29" s="33">
        <f>IF(DAY(MaySun1)=1,MaySun1+25,MaySun1+32)</f>
        <v>41788</v>
      </c>
      <c r="I29" s="33">
        <f>IF(DAY(MaySun1)=1,MaySun1+26,MaySun1+33)</f>
        <v>41789</v>
      </c>
      <c r="J29" s="34">
        <f>IF(DAY(MaySun1)=1,MaySun1+27,MaySun1+34)</f>
        <v>41790</v>
      </c>
      <c r="K29" s="28"/>
      <c r="L29" s="42"/>
      <c r="M29" s="28"/>
      <c r="N29" s="28"/>
      <c r="O29" s="32">
        <f>IF(DAY(JunSun1)=1,JunSun1+21,JunSun1+28)</f>
        <v>41812</v>
      </c>
      <c r="P29" s="33">
        <f>IF(DAY(JunSun1)=1,JunSun1+22,JunSun1+29)</f>
        <v>41813</v>
      </c>
      <c r="Q29" s="33">
        <f>IF(DAY(JunSun1)=1,JunSun1+23,JunSun1+30)</f>
        <v>41814</v>
      </c>
      <c r="R29" s="33">
        <f>IF(DAY(JunSun1)=1,JunSun1+24,JunSun1+31)</f>
        <v>41815</v>
      </c>
      <c r="S29" s="33">
        <f>IF(DAY(JunSun1)=1,JunSun1+25,JunSun1+32)</f>
        <v>41816</v>
      </c>
      <c r="T29" s="33">
        <f>IF(DAY(JunSun1)=1,JunSun1+26,JunSun1+33)</f>
        <v>41817</v>
      </c>
      <c r="U29" s="34">
        <f>IF(DAY(JunSun1)=1,JunSun1+27,JunSun1+34)</f>
        <v>41818</v>
      </c>
      <c r="V29" s="28"/>
    </row>
    <row r="30" spans="1:22" s="27" customFormat="1" ht="13.5" customHeight="1">
      <c r="A30" s="3"/>
      <c r="B30" s="28"/>
      <c r="C30" s="28"/>
      <c r="D30" s="32">
        <f>IF(DAY(MaySun1)=1,MaySun1+28,MaySun1+35)</f>
        <v>41791</v>
      </c>
      <c r="E30" s="33">
        <f>IF(DAY(MaySun1)=1,MaySun1+29,MaySun1+36)</f>
        <v>41792</v>
      </c>
      <c r="F30" s="33">
        <f>IF(DAY(MaySun1)=1,MaySun1+30,MaySun1+37)</f>
        <v>41793</v>
      </c>
      <c r="G30" s="33">
        <f>IF(DAY(MaySun1)=1,MaySun1+31,MaySun1+38)</f>
        <v>41794</v>
      </c>
      <c r="H30" s="33">
        <f>IF(DAY(MaySun1)=1,MaySun1+32,MaySun1+39)</f>
        <v>41795</v>
      </c>
      <c r="I30" s="33">
        <f>IF(DAY(MaySun1)=1,MaySun1+33,MaySun1+40)</f>
        <v>41796</v>
      </c>
      <c r="J30" s="34">
        <f>IF(DAY(MaySun1)=1,MaySun1+34,MaySun1+41)</f>
        <v>41797</v>
      </c>
      <c r="K30" s="28"/>
      <c r="L30" s="42"/>
      <c r="M30" s="28"/>
      <c r="N30" s="28"/>
      <c r="O30" s="32">
        <f>IF(DAY(JunSun1)=1,JunSun1+28,JunSun1+35)</f>
        <v>41819</v>
      </c>
      <c r="P30" s="33">
        <f>IF(DAY(JunSun1)=1,JunSun1+29,JunSun1+36)</f>
        <v>41820</v>
      </c>
      <c r="Q30" s="33">
        <f>IF(DAY(JunSun1)=1,JunSun1+30,JunSun1+37)</f>
        <v>41821</v>
      </c>
      <c r="R30" s="33">
        <f>IF(DAY(JunSun1)=1,JunSun1+31,JunSun1+38)</f>
        <v>41822</v>
      </c>
      <c r="S30" s="33">
        <f>IF(DAY(JunSun1)=1,JunSun1+32,JunSun1+39)</f>
        <v>41823</v>
      </c>
      <c r="T30" s="33">
        <f>IF(DAY(JunSun1)=1,JunSun1+33,JunSun1+40)</f>
        <v>41824</v>
      </c>
      <c r="U30" s="34">
        <f>IF(DAY(JunSun1)=1,JunSun1+34,JunSun1+41)</f>
        <v>41825</v>
      </c>
      <c r="V30" s="28"/>
    </row>
    <row r="31" spans="1:22" s="27" customFormat="1" ht="7.5" customHeight="1">
      <c r="A31" s="3"/>
      <c r="B31" s="28"/>
      <c r="C31" s="28"/>
      <c r="D31" s="37"/>
      <c r="E31" s="37"/>
      <c r="F31" s="37"/>
      <c r="G31" s="37"/>
      <c r="H31" s="37"/>
      <c r="I31" s="37"/>
      <c r="J31" s="37"/>
      <c r="K31" s="28"/>
      <c r="L31" s="42"/>
      <c r="M31" s="28"/>
      <c r="N31" s="28"/>
      <c r="O31" s="37"/>
      <c r="P31" s="37"/>
      <c r="Q31" s="37"/>
      <c r="R31" s="37"/>
      <c r="S31" s="37"/>
      <c r="T31" s="37"/>
      <c r="U31" s="37"/>
      <c r="V31" s="28"/>
    </row>
    <row r="32" spans="1:22" s="27" customFormat="1" ht="3.75" customHeight="1">
      <c r="A32" s="3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27" customFormat="1" ht="7.5" customHeight="1">
      <c r="A33" s="3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42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s="27" customFormat="1" ht="9.75" customHeight="1">
      <c r="A34" s="3"/>
      <c r="B34" s="28"/>
      <c r="C34" s="28"/>
      <c r="D34" s="29" t="s">
        <v>26</v>
      </c>
      <c r="E34" s="30" t="s">
        <v>27</v>
      </c>
      <c r="F34" s="30" t="s">
        <v>28</v>
      </c>
      <c r="G34" s="30" t="s">
        <v>29</v>
      </c>
      <c r="H34" s="30" t="s">
        <v>30</v>
      </c>
      <c r="I34" s="30" t="s">
        <v>31</v>
      </c>
      <c r="J34" s="31" t="s">
        <v>0</v>
      </c>
      <c r="K34" s="28"/>
      <c r="L34" s="42"/>
      <c r="M34" s="28"/>
      <c r="N34" s="28"/>
      <c r="O34" s="29" t="s">
        <v>26</v>
      </c>
      <c r="P34" s="30" t="s">
        <v>27</v>
      </c>
      <c r="Q34" s="30" t="s">
        <v>28</v>
      </c>
      <c r="R34" s="30" t="s">
        <v>29</v>
      </c>
      <c r="S34" s="30" t="s">
        <v>30</v>
      </c>
      <c r="T34" s="30" t="s">
        <v>31</v>
      </c>
      <c r="U34" s="31" t="s">
        <v>0</v>
      </c>
      <c r="V34" s="28"/>
    </row>
    <row r="35" spans="1:22" s="27" customFormat="1" ht="13.5" customHeight="1">
      <c r="A35" s="3"/>
      <c r="B35" s="28"/>
      <c r="C35" s="28"/>
      <c r="D35" s="32">
        <f>IF(DAY(JulSun1)=1,JulSun1-7,JulSun1)</f>
        <v>41819</v>
      </c>
      <c r="E35" s="33">
        <f>IF(DAY(JulSun1)=1,JulSun1-6,JulSun1+1)</f>
        <v>41820</v>
      </c>
      <c r="F35" s="33">
        <f>IF(DAY(JulSun1)=1,JulSun1-5,JulSun1+2)</f>
        <v>41821</v>
      </c>
      <c r="G35" s="33">
        <f>IF(DAY(JulSun1)=1,JulSun1-4,JulSun1+3)</f>
        <v>41822</v>
      </c>
      <c r="H35" s="33">
        <f>IF(DAY(JulSun1)=1,JulSun1-3,JulSun1+4)</f>
        <v>41823</v>
      </c>
      <c r="I35" s="33">
        <f>IF(DAY(JulSun1)=1,JulSun1-2,JulSun1+5)</f>
        <v>41824</v>
      </c>
      <c r="J35" s="34">
        <f>IF(DAY(JulSun1)=1,JulSun1-1,JulSun1+6)</f>
        <v>41825</v>
      </c>
      <c r="K35" s="28"/>
      <c r="L35" s="42"/>
      <c r="M35" s="28"/>
      <c r="N35" s="28"/>
      <c r="O35" s="32">
        <f>IF(DAY(AugSun1)=1,AugSun1-7,AugSun1)</f>
        <v>41847</v>
      </c>
      <c r="P35" s="33">
        <f>IF(DAY(AugSun1)=1,AugSun1-6,AugSun1+1)</f>
        <v>41848</v>
      </c>
      <c r="Q35" s="33">
        <f>IF(DAY(AugSun1)=1,AugSun1-5,AugSun1+2)</f>
        <v>41849</v>
      </c>
      <c r="R35" s="33">
        <f>IF(DAY(AugSun1)=1,AugSun1-4,AugSun1+3)</f>
        <v>41850</v>
      </c>
      <c r="S35" s="33">
        <f>IF(DAY(AugSun1)=1,AugSun1-3,AugSun1+4)</f>
        <v>41851</v>
      </c>
      <c r="T35" s="33">
        <f>IF(DAY(AugSun1)=1,AugSun1-2,AugSun1+5)</f>
        <v>41852</v>
      </c>
      <c r="U35" s="34">
        <f>IF(DAY(AugSun1)=1,AugSun1-1,AugSun1+6)</f>
        <v>41853</v>
      </c>
      <c r="V35" s="28"/>
    </row>
    <row r="36" spans="1:22" s="27" customFormat="1" ht="13.5" customHeight="1">
      <c r="A36" s="3"/>
      <c r="B36" s="28"/>
      <c r="C36" s="28"/>
      <c r="D36" s="32">
        <f>IF(DAY(JulSun1)=1,JulSun1,JulSun1+7)</f>
        <v>41826</v>
      </c>
      <c r="E36" s="33">
        <f>IF(DAY(JulSun1)=1,JulSun1+1,JulSun1+8)</f>
        <v>41827</v>
      </c>
      <c r="F36" s="33">
        <f>IF(DAY(JulSun1)=1,JulSun1+2,JulSun1+9)</f>
        <v>41828</v>
      </c>
      <c r="G36" s="33">
        <f>IF(DAY(JulSun1)=1,JulSun1+3,JulSun1+10)</f>
        <v>41829</v>
      </c>
      <c r="H36" s="33">
        <f>IF(DAY(JulSun1)=1,JulSun1+4,JulSun1+11)</f>
        <v>41830</v>
      </c>
      <c r="I36" s="33">
        <f>IF(DAY(JulSun1)=1,JulSun1+5,JulSun1+12)</f>
        <v>41831</v>
      </c>
      <c r="J36" s="34">
        <f>IF(DAY(JulSun1)=1,JulSun1+6,JulSun1+13)</f>
        <v>41832</v>
      </c>
      <c r="K36" s="28"/>
      <c r="L36" s="42"/>
      <c r="M36" s="28"/>
      <c r="N36" s="28"/>
      <c r="O36" s="32">
        <f>IF(DAY(AugSun1)=1,AugSun1,AugSun1+7)</f>
        <v>41854</v>
      </c>
      <c r="P36" s="33">
        <f>IF(DAY(AugSun1)=1,AugSun1+1,AugSun1+8)</f>
        <v>41855</v>
      </c>
      <c r="Q36" s="33">
        <f>IF(DAY(AugSun1)=1,AugSun1+2,AugSun1+9)</f>
        <v>41856</v>
      </c>
      <c r="R36" s="33">
        <f>IF(DAY(AugSun1)=1,AugSun1+3,AugSun1+10)</f>
        <v>41857</v>
      </c>
      <c r="S36" s="33">
        <f>IF(DAY(AugSun1)=1,AugSun1+4,AugSun1+11)</f>
        <v>41858</v>
      </c>
      <c r="T36" s="33">
        <f>IF(DAY(AugSun1)=1,AugSun1+5,AugSun1+12)</f>
        <v>41859</v>
      </c>
      <c r="U36" s="34">
        <f>IF(DAY(AugSun1)=1,AugSun1+6,AugSun1+13)</f>
        <v>41860</v>
      </c>
      <c r="V36" s="28"/>
    </row>
    <row r="37" spans="1:22" s="27" customFormat="1" ht="13.5" customHeight="1">
      <c r="A37" s="3"/>
      <c r="B37" s="28"/>
      <c r="C37" s="28"/>
      <c r="D37" s="32">
        <f>IF(DAY(JulSun1)=1,JulSun1+7,JulSun1+14)</f>
        <v>41833</v>
      </c>
      <c r="E37" s="33">
        <f>IF(DAY(JulSun1)=1,JulSun1+8,JulSun1+15)</f>
        <v>41834</v>
      </c>
      <c r="F37" s="33">
        <f>IF(DAY(JulSun1)=1,JulSun1+9,JulSun1+16)</f>
        <v>41835</v>
      </c>
      <c r="G37" s="33">
        <f>IF(DAY(JulSun1)=1,JulSun1+10,JulSun1+17)</f>
        <v>41836</v>
      </c>
      <c r="H37" s="33">
        <f>IF(DAY(JulSun1)=1,JulSun1+11,JulSun1+18)</f>
        <v>41837</v>
      </c>
      <c r="I37" s="33">
        <f>IF(DAY(JulSun1)=1,JulSun1+12,JulSun1+19)</f>
        <v>41838</v>
      </c>
      <c r="J37" s="34">
        <f>IF(DAY(JulSun1)=1,JulSun1+13,JulSun1+20)</f>
        <v>41839</v>
      </c>
      <c r="K37" s="28"/>
      <c r="L37" s="42"/>
      <c r="M37" s="28"/>
      <c r="N37" s="28"/>
      <c r="O37" s="32">
        <f>IF(DAY(AugSun1)=1,AugSun1+7,AugSun1+14)</f>
        <v>41861</v>
      </c>
      <c r="P37" s="33">
        <f>IF(DAY(AugSun1)=1,AugSun1+8,AugSun1+15)</f>
        <v>41862</v>
      </c>
      <c r="Q37" s="33">
        <f>IF(DAY(AugSun1)=1,AugSun1+9,AugSun1+16)</f>
        <v>41863</v>
      </c>
      <c r="R37" s="33">
        <f>IF(DAY(AugSun1)=1,AugSun1+10,AugSun1+17)</f>
        <v>41864</v>
      </c>
      <c r="S37" s="33">
        <f>IF(DAY(AugSun1)=1,AugSun1+11,AugSun1+18)</f>
        <v>41865</v>
      </c>
      <c r="T37" s="33">
        <f>IF(DAY(AugSun1)=1,AugSun1+12,AugSun1+19)</f>
        <v>41866</v>
      </c>
      <c r="U37" s="34">
        <f>IF(DAY(AugSun1)=1,AugSun1+13,AugSun1+20)</f>
        <v>41867</v>
      </c>
      <c r="V37" s="28"/>
    </row>
    <row r="38" spans="1:22" s="27" customFormat="1" ht="13.5" customHeight="1">
      <c r="A38" s="3"/>
      <c r="B38" s="28"/>
      <c r="C38" s="28"/>
      <c r="D38" s="32">
        <f>IF(DAY(JulSun1)=1,JulSun1+14,JulSun1+21)</f>
        <v>41840</v>
      </c>
      <c r="E38" s="33">
        <f>IF(DAY(JulSun1)=1,JulSun1+15,JulSun1+22)</f>
        <v>41841</v>
      </c>
      <c r="F38" s="33">
        <f>IF(DAY(JulSun1)=1,JulSun1+16,JulSun1+23)</f>
        <v>41842</v>
      </c>
      <c r="G38" s="33">
        <f>IF(DAY(JulSun1)=1,JulSun1+17,JulSun1+24)</f>
        <v>41843</v>
      </c>
      <c r="H38" s="33">
        <f>IF(DAY(JulSun1)=1,JulSun1+18,JulSun1+25)</f>
        <v>41844</v>
      </c>
      <c r="I38" s="33">
        <f>IF(DAY(JulSun1)=1,JulSun1+19,JulSun1+26)</f>
        <v>41845</v>
      </c>
      <c r="J38" s="34">
        <f>IF(DAY(JulSun1)=1,JulSun1+20,JulSun1+27)</f>
        <v>41846</v>
      </c>
      <c r="K38" s="28"/>
      <c r="L38" s="42"/>
      <c r="M38" s="28"/>
      <c r="N38" s="28"/>
      <c r="O38" s="32">
        <f>IF(DAY(AugSun1)=1,AugSun1+14,AugSun1+21)</f>
        <v>41868</v>
      </c>
      <c r="P38" s="33">
        <f>IF(DAY(AugSun1)=1,AugSun1+15,AugSun1+22)</f>
        <v>41869</v>
      </c>
      <c r="Q38" s="33">
        <f>IF(DAY(AugSun1)=1,AugSun1+16,AugSun1+23)</f>
        <v>41870</v>
      </c>
      <c r="R38" s="33">
        <f>IF(DAY(AugSun1)=1,AugSun1+17,AugSun1+24)</f>
        <v>41871</v>
      </c>
      <c r="S38" s="33">
        <f>IF(DAY(AugSun1)=1,AugSun1+18,AugSun1+25)</f>
        <v>41872</v>
      </c>
      <c r="T38" s="33">
        <f>IF(DAY(AugSun1)=1,AugSun1+19,AugSun1+26)</f>
        <v>41873</v>
      </c>
      <c r="U38" s="34">
        <f>IF(DAY(AugSun1)=1,AugSun1+20,AugSun1+27)</f>
        <v>41874</v>
      </c>
      <c r="V38" s="28"/>
    </row>
    <row r="39" spans="1:22" s="27" customFormat="1" ht="13.5" customHeight="1">
      <c r="A39" s="3"/>
      <c r="B39" s="28"/>
      <c r="C39" s="28"/>
      <c r="D39" s="32">
        <f>IF(DAY(JulSun1)=1,JulSun1+21,JulSun1+28)</f>
        <v>41847</v>
      </c>
      <c r="E39" s="33">
        <f>IF(DAY(JulSun1)=1,JulSun1+22,JulSun1+29)</f>
        <v>41848</v>
      </c>
      <c r="F39" s="33">
        <f>IF(DAY(JulSun1)=1,JulSun1+23,JulSun1+30)</f>
        <v>41849</v>
      </c>
      <c r="G39" s="33">
        <f>IF(DAY(JulSun1)=1,JulSun1+24,JulSun1+31)</f>
        <v>41850</v>
      </c>
      <c r="H39" s="33">
        <f>IF(DAY(JulSun1)=1,JulSun1+25,JulSun1+32)</f>
        <v>41851</v>
      </c>
      <c r="I39" s="33">
        <f>IF(DAY(JulSun1)=1,JulSun1+26,JulSun1+33)</f>
        <v>41852</v>
      </c>
      <c r="J39" s="34">
        <f>IF(DAY(JulSun1)=1,JulSun1+27,JulSun1+34)</f>
        <v>41853</v>
      </c>
      <c r="K39" s="28"/>
      <c r="L39" s="42"/>
      <c r="M39" s="28"/>
      <c r="N39" s="28"/>
      <c r="O39" s="32">
        <f>IF(DAY(AugSun1)=1,AugSun1+21,AugSun1+28)</f>
        <v>41875</v>
      </c>
      <c r="P39" s="33">
        <f>IF(DAY(AugSun1)=1,AugSun1+22,AugSun1+29)</f>
        <v>41876</v>
      </c>
      <c r="Q39" s="33">
        <f>IF(DAY(AugSun1)=1,AugSun1+23,AugSun1+30)</f>
        <v>41877</v>
      </c>
      <c r="R39" s="33">
        <f>IF(DAY(AugSun1)=1,AugSun1+24,AugSun1+31)</f>
        <v>41878</v>
      </c>
      <c r="S39" s="33">
        <f>IF(DAY(AugSun1)=1,AugSun1+25,AugSun1+32)</f>
        <v>41879</v>
      </c>
      <c r="T39" s="33">
        <f>IF(DAY(AugSun1)=1,AugSun1+26,AugSun1+33)</f>
        <v>41880</v>
      </c>
      <c r="U39" s="34">
        <f>IF(DAY(AugSun1)=1,AugSun1+27,AugSun1+34)</f>
        <v>41881</v>
      </c>
      <c r="V39" s="28"/>
    </row>
    <row r="40" spans="1:22" s="27" customFormat="1" ht="13.5" customHeight="1">
      <c r="A40" s="3"/>
      <c r="B40" s="28"/>
      <c r="C40" s="28"/>
      <c r="D40" s="32">
        <f>IF(DAY(JulSun1)=1,JulSun1+28,JulSun1+35)</f>
        <v>41854</v>
      </c>
      <c r="E40" s="33">
        <f>IF(DAY(JulSun1)=1,JulSun1+29,JulSun1+36)</f>
        <v>41855</v>
      </c>
      <c r="F40" s="33">
        <f>IF(DAY(JulSun1)=1,JulSun1+30,JulSun1+37)</f>
        <v>41856</v>
      </c>
      <c r="G40" s="33">
        <f>IF(DAY(JulSun1)=1,JulSun1+31,JulSun1+38)</f>
        <v>41857</v>
      </c>
      <c r="H40" s="33">
        <f>IF(DAY(JulSun1)=1,JulSun1+32,JulSun1+39)</f>
        <v>41858</v>
      </c>
      <c r="I40" s="33">
        <f>IF(DAY(JulSun1)=1,JulSun1+33,JulSun1+40)</f>
        <v>41859</v>
      </c>
      <c r="J40" s="34">
        <f>IF(DAY(JulSun1)=1,JulSun1+34,JulSun1+41)</f>
        <v>41860</v>
      </c>
      <c r="K40" s="28"/>
      <c r="L40" s="42"/>
      <c r="M40" s="28"/>
      <c r="N40" s="28"/>
      <c r="O40" s="32">
        <f>IF(DAY(AugSun1)=1,AugSun1+28,AugSun1+35)</f>
        <v>41882</v>
      </c>
      <c r="P40" s="33">
        <f>IF(DAY(AugSun1)=1,AugSun1+29,AugSun1+36)</f>
        <v>41883</v>
      </c>
      <c r="Q40" s="33">
        <f>IF(DAY(AugSun1)=1,AugSun1+30,AugSun1+37)</f>
        <v>41884</v>
      </c>
      <c r="R40" s="33">
        <f>IF(DAY(AugSun1)=1,AugSun1+31,AugSun1+38)</f>
        <v>41885</v>
      </c>
      <c r="S40" s="33">
        <f>IF(DAY(AugSun1)=1,AugSun1+32,AugSun1+39)</f>
        <v>41886</v>
      </c>
      <c r="T40" s="33">
        <f>IF(DAY(AugSun1)=1,AugSun1+33,AugSun1+40)</f>
        <v>41887</v>
      </c>
      <c r="U40" s="34">
        <f>IF(DAY(AugSun1)=1,AugSun1+34,AugSun1+41)</f>
        <v>41888</v>
      </c>
      <c r="V40" s="28"/>
    </row>
    <row r="41" spans="1:22" s="27" customFormat="1" ht="7.5" customHeight="1">
      <c r="A41" s="3"/>
      <c r="B41" s="28"/>
      <c r="C41" s="28"/>
      <c r="D41" s="37"/>
      <c r="E41" s="37"/>
      <c r="F41" s="37"/>
      <c r="G41" s="37"/>
      <c r="H41" s="37"/>
      <c r="I41" s="37"/>
      <c r="J41" s="37"/>
      <c r="K41" s="28"/>
      <c r="L41" s="42"/>
      <c r="M41" s="28"/>
      <c r="N41" s="28"/>
      <c r="O41" s="37"/>
      <c r="P41" s="37"/>
      <c r="Q41" s="37"/>
      <c r="R41" s="37"/>
      <c r="S41" s="37"/>
      <c r="T41" s="37"/>
      <c r="U41" s="37"/>
      <c r="V41" s="28"/>
    </row>
    <row r="42" spans="1:22" s="27" customFormat="1" ht="3.75" customHeight="1">
      <c r="A42" s="3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27" customFormat="1" ht="7.5" customHeight="1">
      <c r="A43" s="3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42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s="27" customFormat="1" ht="9.75" customHeight="1">
      <c r="A44" s="3"/>
      <c r="B44" s="28"/>
      <c r="C44" s="28"/>
      <c r="D44" s="29" t="s">
        <v>26</v>
      </c>
      <c r="E44" s="30" t="s">
        <v>27</v>
      </c>
      <c r="F44" s="30" t="s">
        <v>28</v>
      </c>
      <c r="G44" s="30" t="s">
        <v>29</v>
      </c>
      <c r="H44" s="30" t="s">
        <v>30</v>
      </c>
      <c r="I44" s="30" t="s">
        <v>31</v>
      </c>
      <c r="J44" s="31" t="s">
        <v>0</v>
      </c>
      <c r="K44" s="28"/>
      <c r="L44" s="42"/>
      <c r="M44" s="28"/>
      <c r="N44" s="28"/>
      <c r="O44" s="29" t="s">
        <v>26</v>
      </c>
      <c r="P44" s="30" t="s">
        <v>27</v>
      </c>
      <c r="Q44" s="30" t="s">
        <v>28</v>
      </c>
      <c r="R44" s="30" t="s">
        <v>29</v>
      </c>
      <c r="S44" s="30" t="s">
        <v>30</v>
      </c>
      <c r="T44" s="30" t="s">
        <v>31</v>
      </c>
      <c r="U44" s="31" t="s">
        <v>0</v>
      </c>
      <c r="V44" s="28"/>
    </row>
    <row r="45" spans="1:22" s="27" customFormat="1" ht="13.5" customHeight="1">
      <c r="A45" s="3"/>
      <c r="B45" s="28"/>
      <c r="C45" s="28"/>
      <c r="D45" s="32">
        <f>IF(DAY(SepSun1)=1,SepSun1-7,SepSun1)</f>
        <v>41882</v>
      </c>
      <c r="E45" s="33">
        <f>IF(DAY(SepSun1)=1,SepSun1-6,SepSun1+1)</f>
        <v>41883</v>
      </c>
      <c r="F45" s="33">
        <f>IF(DAY(SepSun1)=1,SepSun1-5,SepSun1+2)</f>
        <v>41884</v>
      </c>
      <c r="G45" s="33">
        <f>IF(DAY(SepSun1)=1,SepSun1-4,SepSun1+3)</f>
        <v>41885</v>
      </c>
      <c r="H45" s="33">
        <f>IF(DAY(SepSun1)=1,SepSun1-3,SepSun1+4)</f>
        <v>41886</v>
      </c>
      <c r="I45" s="33">
        <f>IF(DAY(SepSun1)=1,SepSun1-2,SepSun1+5)</f>
        <v>41887</v>
      </c>
      <c r="J45" s="34">
        <f>IF(DAY(SepSun1)=1,SepSun1-1,SepSun1+6)</f>
        <v>41888</v>
      </c>
      <c r="K45" s="28"/>
      <c r="L45" s="42"/>
      <c r="M45" s="28"/>
      <c r="N45" s="28"/>
      <c r="O45" s="32">
        <f>IF(DAY(OctSun1)=1,OctSun1-7,OctSun1)</f>
        <v>41910</v>
      </c>
      <c r="P45" s="33">
        <f>IF(DAY(OctSun1)=1,OctSun1-6,OctSun1+1)</f>
        <v>41911</v>
      </c>
      <c r="Q45" s="33">
        <f>IF(DAY(OctSun1)=1,OctSun1-5,OctSun1+2)</f>
        <v>41912</v>
      </c>
      <c r="R45" s="33">
        <f>IF(DAY(OctSun1)=1,OctSun1-4,OctSun1+3)</f>
        <v>41913</v>
      </c>
      <c r="S45" s="33">
        <f>IF(DAY(OctSun1)=1,OctSun1-3,OctSun1+4)</f>
        <v>41914</v>
      </c>
      <c r="T45" s="33">
        <f>IF(DAY(OctSun1)=1,OctSun1-2,OctSun1+5)</f>
        <v>41915</v>
      </c>
      <c r="U45" s="34">
        <f>IF(DAY(OctSun1)=1,OctSun1-1,OctSun1+6)</f>
        <v>41916</v>
      </c>
      <c r="V45" s="28"/>
    </row>
    <row r="46" spans="1:22" ht="13.5" customHeight="1">
      <c r="A46" s="3"/>
      <c r="B46" s="28"/>
      <c r="C46" s="28"/>
      <c r="D46" s="32">
        <f>IF(DAY(SepSun1)=1,SepSun1,SepSun1+7)</f>
        <v>41889</v>
      </c>
      <c r="E46" s="33">
        <f>IF(DAY(SepSun1)=1,SepSun1+1,SepSun1+8)</f>
        <v>41890</v>
      </c>
      <c r="F46" s="33">
        <f>IF(DAY(SepSun1)=1,SepSun1+2,SepSun1+9)</f>
        <v>41891</v>
      </c>
      <c r="G46" s="33">
        <f>IF(DAY(SepSun1)=1,SepSun1+3,SepSun1+10)</f>
        <v>41892</v>
      </c>
      <c r="H46" s="33">
        <f>IF(DAY(SepSun1)=1,SepSun1+4,SepSun1+11)</f>
        <v>41893</v>
      </c>
      <c r="I46" s="33">
        <f>IF(DAY(SepSun1)=1,SepSun1+5,SepSun1+12)</f>
        <v>41894</v>
      </c>
      <c r="J46" s="34">
        <f>IF(DAY(SepSun1)=1,SepSun1+6,SepSun1+13)</f>
        <v>41895</v>
      </c>
      <c r="K46" s="28"/>
      <c r="L46" s="42"/>
      <c r="M46" s="28"/>
      <c r="N46" s="28"/>
      <c r="O46" s="32">
        <f>IF(DAY(OctSun1)=1,OctSun1,OctSun1+7)</f>
        <v>41917</v>
      </c>
      <c r="P46" s="33">
        <f>IF(DAY(OctSun1)=1,OctSun1+1,OctSun1+8)</f>
        <v>41918</v>
      </c>
      <c r="Q46" s="33">
        <f>IF(DAY(OctSun1)=1,OctSun1+2,OctSun1+9)</f>
        <v>41919</v>
      </c>
      <c r="R46" s="33">
        <f>IF(DAY(OctSun1)=1,OctSun1+3,OctSun1+10)</f>
        <v>41920</v>
      </c>
      <c r="S46" s="33">
        <f>IF(DAY(OctSun1)=1,OctSun1+4,OctSun1+11)</f>
        <v>41921</v>
      </c>
      <c r="T46" s="33">
        <f>IF(DAY(OctSun1)=1,OctSun1+5,OctSun1+12)</f>
        <v>41922</v>
      </c>
      <c r="U46" s="34">
        <f>IF(DAY(OctSun1)=1,OctSun1+6,OctSun1+13)</f>
        <v>41923</v>
      </c>
      <c r="V46" s="28"/>
    </row>
    <row r="47" spans="1:22" ht="13.5" customHeight="1">
      <c r="A47" s="3"/>
      <c r="B47" s="28"/>
      <c r="C47" s="28"/>
      <c r="D47" s="32">
        <f>IF(DAY(SepSun1)=1,SepSun1+7,SepSun1+14)</f>
        <v>41896</v>
      </c>
      <c r="E47" s="33">
        <f>IF(DAY(SepSun1)=1,SepSun1+8,SepSun1+15)</f>
        <v>41897</v>
      </c>
      <c r="F47" s="33">
        <f>IF(DAY(SepSun1)=1,SepSun1+9,SepSun1+16)</f>
        <v>41898</v>
      </c>
      <c r="G47" s="33">
        <f>IF(DAY(SepSun1)=1,SepSun1+10,SepSun1+17)</f>
        <v>41899</v>
      </c>
      <c r="H47" s="33">
        <f>IF(DAY(SepSun1)=1,SepSun1+11,SepSun1+18)</f>
        <v>41900</v>
      </c>
      <c r="I47" s="33">
        <f>IF(DAY(SepSun1)=1,SepSun1+12,SepSun1+19)</f>
        <v>41901</v>
      </c>
      <c r="J47" s="34">
        <f>IF(DAY(SepSun1)=1,SepSun1+13,SepSun1+20)</f>
        <v>41902</v>
      </c>
      <c r="K47" s="28"/>
      <c r="L47" s="42"/>
      <c r="M47" s="28"/>
      <c r="N47" s="28"/>
      <c r="O47" s="32">
        <f>IF(DAY(OctSun1)=1,OctSun1+7,OctSun1+14)</f>
        <v>41924</v>
      </c>
      <c r="P47" s="33">
        <f>IF(DAY(OctSun1)=1,OctSun1+8,OctSun1+15)</f>
        <v>41925</v>
      </c>
      <c r="Q47" s="33">
        <f>IF(DAY(OctSun1)=1,OctSun1+9,OctSun1+16)</f>
        <v>41926</v>
      </c>
      <c r="R47" s="33">
        <f>IF(DAY(OctSun1)=1,OctSun1+10,OctSun1+17)</f>
        <v>41927</v>
      </c>
      <c r="S47" s="33">
        <f>IF(DAY(OctSun1)=1,OctSun1+11,OctSun1+18)</f>
        <v>41928</v>
      </c>
      <c r="T47" s="33">
        <f>IF(DAY(OctSun1)=1,OctSun1+12,OctSun1+19)</f>
        <v>41929</v>
      </c>
      <c r="U47" s="34">
        <f>IF(DAY(OctSun1)=1,OctSun1+13,OctSun1+20)</f>
        <v>41930</v>
      </c>
      <c r="V47" s="28"/>
    </row>
    <row r="48" spans="1:22" ht="13.5" customHeight="1">
      <c r="A48" s="3"/>
      <c r="B48" s="28"/>
      <c r="C48" s="28"/>
      <c r="D48" s="32">
        <f>IF(DAY(SepSun1)=1,SepSun1+14,SepSun1+21)</f>
        <v>41903</v>
      </c>
      <c r="E48" s="33">
        <f>IF(DAY(SepSun1)=1,SepSun1+15,SepSun1+22)</f>
        <v>41904</v>
      </c>
      <c r="F48" s="33">
        <f>IF(DAY(SepSun1)=1,SepSun1+16,SepSun1+23)</f>
        <v>41905</v>
      </c>
      <c r="G48" s="33">
        <f>IF(DAY(SepSun1)=1,SepSun1+17,SepSun1+24)</f>
        <v>41906</v>
      </c>
      <c r="H48" s="33">
        <f>IF(DAY(SepSun1)=1,SepSun1+18,SepSun1+25)</f>
        <v>41907</v>
      </c>
      <c r="I48" s="33">
        <f>IF(DAY(SepSun1)=1,SepSun1+19,SepSun1+26)</f>
        <v>41908</v>
      </c>
      <c r="J48" s="34">
        <f>IF(DAY(SepSun1)=1,SepSun1+20,SepSun1+27)</f>
        <v>41909</v>
      </c>
      <c r="K48" s="28"/>
      <c r="L48" s="42"/>
      <c r="M48" s="28"/>
      <c r="N48" s="28"/>
      <c r="O48" s="32">
        <f>IF(DAY(OctSun1)=1,OctSun1+14,OctSun1+21)</f>
        <v>41931</v>
      </c>
      <c r="P48" s="33">
        <f>IF(DAY(OctSun1)=1,OctSun1+15,OctSun1+22)</f>
        <v>41932</v>
      </c>
      <c r="Q48" s="33">
        <f>IF(DAY(OctSun1)=1,OctSun1+16,OctSun1+23)</f>
        <v>41933</v>
      </c>
      <c r="R48" s="33">
        <f>IF(DAY(OctSun1)=1,OctSun1+17,OctSun1+24)</f>
        <v>41934</v>
      </c>
      <c r="S48" s="33">
        <f>IF(DAY(OctSun1)=1,OctSun1+18,OctSun1+25)</f>
        <v>41935</v>
      </c>
      <c r="T48" s="33">
        <f>IF(DAY(OctSun1)=1,OctSun1+19,OctSun1+26)</f>
        <v>41936</v>
      </c>
      <c r="U48" s="34">
        <f>IF(DAY(OctSun1)=1,OctSun1+20,OctSun1+27)</f>
        <v>41937</v>
      </c>
      <c r="V48" s="28"/>
    </row>
    <row r="49" spans="1:22" ht="13.5" customHeight="1">
      <c r="A49" s="3"/>
      <c r="B49" s="28"/>
      <c r="C49" s="28"/>
      <c r="D49" s="32">
        <f>IF(DAY(SepSun1)=1,SepSun1+21,SepSun1+28)</f>
        <v>41910</v>
      </c>
      <c r="E49" s="33">
        <f>IF(DAY(SepSun1)=1,SepSun1+22,SepSun1+29)</f>
        <v>41911</v>
      </c>
      <c r="F49" s="33">
        <f>IF(DAY(SepSun1)=1,SepSun1+23,SepSun1+30)</f>
        <v>41912</v>
      </c>
      <c r="G49" s="33">
        <f>IF(DAY(SepSun1)=1,SepSun1+24,SepSun1+31)</f>
        <v>41913</v>
      </c>
      <c r="H49" s="33">
        <f>IF(DAY(SepSun1)=1,SepSun1+25,SepSun1+32)</f>
        <v>41914</v>
      </c>
      <c r="I49" s="33">
        <f>IF(DAY(SepSun1)=1,SepSun1+26,SepSun1+33)</f>
        <v>41915</v>
      </c>
      <c r="J49" s="34">
        <f>IF(DAY(SepSun1)=1,SepSun1+27,SepSun1+34)</f>
        <v>41916</v>
      </c>
      <c r="K49" s="28"/>
      <c r="L49" s="42"/>
      <c r="M49" s="28"/>
      <c r="N49" s="28"/>
      <c r="O49" s="32">
        <f>IF(DAY(OctSun1)=1,OctSun1+21,OctSun1+28)</f>
        <v>41938</v>
      </c>
      <c r="P49" s="33">
        <f>IF(DAY(OctSun1)=1,OctSun1+22,OctSun1+29)</f>
        <v>41939</v>
      </c>
      <c r="Q49" s="33">
        <f>IF(DAY(OctSun1)=1,OctSun1+23,OctSun1+30)</f>
        <v>41940</v>
      </c>
      <c r="R49" s="33">
        <f>IF(DAY(OctSun1)=1,OctSun1+24,OctSun1+31)</f>
        <v>41941</v>
      </c>
      <c r="S49" s="33">
        <f>IF(DAY(OctSun1)=1,OctSun1+25,OctSun1+32)</f>
        <v>41942</v>
      </c>
      <c r="T49" s="33">
        <f>IF(DAY(OctSun1)=1,OctSun1+26,OctSun1+33)</f>
        <v>41943</v>
      </c>
      <c r="U49" s="34">
        <f>IF(DAY(OctSun1)=1,OctSun1+27,OctSun1+34)</f>
        <v>41944</v>
      </c>
      <c r="V49" s="28"/>
    </row>
    <row r="50" spans="1:22" ht="13.5" customHeight="1">
      <c r="A50" s="3"/>
      <c r="B50" s="28"/>
      <c r="C50" s="28"/>
      <c r="D50" s="32">
        <f>IF(DAY(SepSun1)=1,SepSun1+28,SepSun1+35)</f>
        <v>41917</v>
      </c>
      <c r="E50" s="33">
        <f>IF(DAY(SepSun1)=1,SepSun1+29,SepSun1+36)</f>
        <v>41918</v>
      </c>
      <c r="F50" s="33">
        <f>IF(DAY(SepSun1)=1,SepSun1+30,SepSun1+37)</f>
        <v>41919</v>
      </c>
      <c r="G50" s="33">
        <f>IF(DAY(SepSun1)=1,SepSun1+31,SepSun1+38)</f>
        <v>41920</v>
      </c>
      <c r="H50" s="33">
        <f>IF(DAY(SepSun1)=1,SepSun1+32,SepSun1+39)</f>
        <v>41921</v>
      </c>
      <c r="I50" s="33">
        <f>IF(DAY(SepSun1)=1,SepSun1+33,SepSun1+40)</f>
        <v>41922</v>
      </c>
      <c r="J50" s="34">
        <f>IF(DAY(SepSun1)=1,SepSun1+34,SepSun1+41)</f>
        <v>41923</v>
      </c>
      <c r="K50" s="28"/>
      <c r="L50" s="42"/>
      <c r="M50" s="28"/>
      <c r="N50" s="28"/>
      <c r="O50" s="32">
        <f>IF(DAY(OctSun1)=1,OctSun1+28,OctSun1+35)</f>
        <v>41945</v>
      </c>
      <c r="P50" s="33">
        <f>IF(DAY(OctSun1)=1,OctSun1+29,OctSun1+36)</f>
        <v>41946</v>
      </c>
      <c r="Q50" s="33">
        <f>IF(DAY(OctSun1)=1,OctSun1+30,OctSun1+37)</f>
        <v>41947</v>
      </c>
      <c r="R50" s="33">
        <f>IF(DAY(OctSun1)=1,OctSun1+31,OctSun1+38)</f>
        <v>41948</v>
      </c>
      <c r="S50" s="33">
        <f>IF(DAY(OctSun1)=1,OctSun1+32,OctSun1+39)</f>
        <v>41949</v>
      </c>
      <c r="T50" s="33">
        <f>IF(DAY(OctSun1)=1,OctSun1+33,OctSun1+40)</f>
        <v>41950</v>
      </c>
      <c r="U50" s="34">
        <f>IF(DAY(OctSun1)=1,OctSun1+34,OctSun1+41)</f>
        <v>41951</v>
      </c>
      <c r="V50" s="28"/>
    </row>
    <row r="51" spans="1:22" s="27" customFormat="1" ht="7.5" customHeight="1">
      <c r="A51" s="3"/>
      <c r="B51" s="28"/>
      <c r="C51" s="28"/>
      <c r="D51" s="37"/>
      <c r="E51" s="37"/>
      <c r="F51" s="37"/>
      <c r="G51" s="37"/>
      <c r="H51" s="37"/>
      <c r="I51" s="37"/>
      <c r="J51" s="37"/>
      <c r="K51" s="28"/>
      <c r="L51" s="42"/>
      <c r="M51" s="28"/>
      <c r="N51" s="28"/>
      <c r="O51" s="37"/>
      <c r="P51" s="37"/>
      <c r="Q51" s="37"/>
      <c r="R51" s="37"/>
      <c r="S51" s="37"/>
      <c r="T51" s="37"/>
      <c r="U51" s="37"/>
      <c r="V51" s="28"/>
    </row>
    <row r="52" spans="1:22" s="27" customFormat="1" ht="3.75" customHeight="1">
      <c r="A52" s="3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27" customFormat="1" ht="7.5" customHeight="1">
      <c r="A53" s="3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42"/>
      <c r="M53" s="28"/>
      <c r="N53" s="28"/>
      <c r="O53" s="28"/>
      <c r="P53" s="28"/>
      <c r="Q53" s="28"/>
      <c r="R53" s="28"/>
      <c r="S53" s="28"/>
      <c r="T53" s="28"/>
      <c r="U53" s="28"/>
      <c r="V53" s="28"/>
    </row>
    <row r="54" spans="1:22" s="27" customFormat="1" ht="9.75" customHeight="1">
      <c r="A54" s="3"/>
      <c r="B54" s="28"/>
      <c r="C54" s="28"/>
      <c r="D54" s="29" t="s">
        <v>32</v>
      </c>
      <c r="E54" s="30" t="s">
        <v>27</v>
      </c>
      <c r="F54" s="30" t="s">
        <v>28</v>
      </c>
      <c r="G54" s="30" t="s">
        <v>29</v>
      </c>
      <c r="H54" s="30" t="s">
        <v>30</v>
      </c>
      <c r="I54" s="30" t="s">
        <v>31</v>
      </c>
      <c r="J54" s="31" t="s">
        <v>0</v>
      </c>
      <c r="K54" s="28"/>
      <c r="L54" s="42"/>
      <c r="M54" s="28"/>
      <c r="N54" s="28"/>
      <c r="O54" s="29" t="s">
        <v>26</v>
      </c>
      <c r="P54" s="30" t="s">
        <v>27</v>
      </c>
      <c r="Q54" s="30" t="s">
        <v>28</v>
      </c>
      <c r="R54" s="30" t="s">
        <v>29</v>
      </c>
      <c r="S54" s="30" t="s">
        <v>30</v>
      </c>
      <c r="T54" s="30" t="s">
        <v>31</v>
      </c>
      <c r="U54" s="38" t="s">
        <v>0</v>
      </c>
      <c r="V54" s="28"/>
    </row>
    <row r="55" spans="1:22" s="27" customFormat="1" ht="13.5" customHeight="1">
      <c r="A55" s="3"/>
      <c r="B55" s="28"/>
      <c r="C55" s="28"/>
      <c r="D55" s="32">
        <f>IF(DAY(NovSun1)=1,NovSun1-7,NovSun1)</f>
        <v>41938</v>
      </c>
      <c r="E55" s="33">
        <f>IF(DAY(NovSun1)=1,NovSun1-6,NovSun1+1)</f>
        <v>41939</v>
      </c>
      <c r="F55" s="33">
        <f>IF(DAY(NovSun1)=1,NovSun1-5,NovSun1+2)</f>
        <v>41940</v>
      </c>
      <c r="G55" s="33">
        <f>IF(DAY(NovSun1)=1,NovSun1-4,NovSun1+3)</f>
        <v>41941</v>
      </c>
      <c r="H55" s="33">
        <f>IF(DAY(NovSun1)=1,NovSun1-3,NovSun1+4)</f>
        <v>41942</v>
      </c>
      <c r="I55" s="33">
        <f>IF(DAY(NovSun1)=1,NovSun1-2,NovSun1+5)</f>
        <v>41943</v>
      </c>
      <c r="J55" s="34">
        <f>IF(DAY(NovSun1)=1,NovSun1-1,NovSun1+6)</f>
        <v>41944</v>
      </c>
      <c r="K55" s="28"/>
      <c r="L55" s="42"/>
      <c r="M55" s="28"/>
      <c r="N55" s="28"/>
      <c r="O55" s="32">
        <f>IF(DAY(DecSun1)=1,DecSun1-7,DecSun1)</f>
        <v>41973</v>
      </c>
      <c r="P55" s="33">
        <f>IF(DAY(DecSun1)=1,DecSun1-6,DecSun1+1)</f>
        <v>41974</v>
      </c>
      <c r="Q55" s="33">
        <f>IF(DAY(DecSun1)=1,DecSun1-5,DecSun1+2)</f>
        <v>41975</v>
      </c>
      <c r="R55" s="33">
        <f>IF(DAY(DecSun1)=1,DecSun1-4,DecSun1+3)</f>
        <v>41976</v>
      </c>
      <c r="S55" s="33">
        <f>IF(DAY(DecSun1)=1,DecSun1-3,DecSun1+4)</f>
        <v>41977</v>
      </c>
      <c r="T55" s="33">
        <f>IF(DAY(DecSun1)=1,DecSun1-2,DecSun1+5)</f>
        <v>41978</v>
      </c>
      <c r="U55" s="34">
        <f>IF(DAY(DecSun1)=1,DecSun1-1,DecSun1+6)</f>
        <v>41979</v>
      </c>
      <c r="V55" s="28"/>
    </row>
    <row r="56" spans="1:22" s="27" customFormat="1" ht="13.5" customHeight="1">
      <c r="A56" s="3"/>
      <c r="B56" s="28"/>
      <c r="C56" s="28"/>
      <c r="D56" s="32">
        <f>IF(DAY(NovSun1)=1,NovSun1,NovSun1+7)</f>
        <v>41945</v>
      </c>
      <c r="E56" s="33">
        <f>IF(DAY(NovSun1)=1,NovSun1+1,NovSun1+8)</f>
        <v>41946</v>
      </c>
      <c r="F56" s="33">
        <f>IF(DAY(NovSun1)=1,NovSun1+2,NovSun1+9)</f>
        <v>41947</v>
      </c>
      <c r="G56" s="33">
        <f>IF(DAY(NovSun1)=1,NovSun1+3,NovSun1+10)</f>
        <v>41948</v>
      </c>
      <c r="H56" s="33">
        <f>IF(DAY(NovSun1)=1,NovSun1+4,NovSun1+11)</f>
        <v>41949</v>
      </c>
      <c r="I56" s="33">
        <f>IF(DAY(NovSun1)=1,NovSun1+5,NovSun1+12)</f>
        <v>41950</v>
      </c>
      <c r="J56" s="34">
        <f>IF(DAY(NovSun1)=1,NovSun1+6,NovSun1+13)</f>
        <v>41951</v>
      </c>
      <c r="K56" s="28"/>
      <c r="L56" s="42"/>
      <c r="M56" s="28"/>
      <c r="N56" s="28"/>
      <c r="O56" s="32">
        <f>IF(DAY(DecSun1)=1,DecSun1,DecSun1+7)</f>
        <v>41980</v>
      </c>
      <c r="P56" s="33">
        <f>IF(DAY(DecSun1)=1,DecSun1+1,DecSun1+8)</f>
        <v>41981</v>
      </c>
      <c r="Q56" s="33">
        <f>IF(DAY(DecSun1)=1,DecSun1+2,DecSun1+9)</f>
        <v>41982</v>
      </c>
      <c r="R56" s="33">
        <f>IF(DAY(DecSun1)=1,DecSun1+3,DecSun1+10)</f>
        <v>41983</v>
      </c>
      <c r="S56" s="33">
        <f>IF(DAY(DecSun1)=1,DecSun1+4,DecSun1+11)</f>
        <v>41984</v>
      </c>
      <c r="T56" s="33">
        <f>IF(DAY(DecSun1)=1,DecSun1+5,DecSun1+12)</f>
        <v>41985</v>
      </c>
      <c r="U56" s="34">
        <f>IF(DAY(DecSun1)=1,DecSun1+6,DecSun1+13)</f>
        <v>41986</v>
      </c>
      <c r="V56" s="28"/>
    </row>
    <row r="57" spans="1:22" s="27" customFormat="1" ht="13.5" customHeight="1">
      <c r="A57" s="3"/>
      <c r="B57" s="28"/>
      <c r="C57" s="28"/>
      <c r="D57" s="32">
        <f>IF(DAY(NovSun1)=1,NovSun1+7,NovSun1+14)</f>
        <v>41952</v>
      </c>
      <c r="E57" s="33">
        <f>IF(DAY(NovSun1)=1,NovSun1+8,NovSun1+15)</f>
        <v>41953</v>
      </c>
      <c r="F57" s="33">
        <f>IF(DAY(NovSun1)=1,NovSun1+9,NovSun1+16)</f>
        <v>41954</v>
      </c>
      <c r="G57" s="33">
        <f>IF(DAY(NovSun1)=1,NovSun1+10,NovSun1+17)</f>
        <v>41955</v>
      </c>
      <c r="H57" s="33">
        <f>IF(DAY(NovSun1)=1,NovSun1+11,NovSun1+18)</f>
        <v>41956</v>
      </c>
      <c r="I57" s="33">
        <f>IF(DAY(NovSun1)=1,NovSun1+12,NovSun1+19)</f>
        <v>41957</v>
      </c>
      <c r="J57" s="34">
        <f>IF(DAY(NovSun1)=1,NovSun1+13,NovSun1+20)</f>
        <v>41958</v>
      </c>
      <c r="K57" s="28"/>
      <c r="L57" s="42"/>
      <c r="M57" s="28"/>
      <c r="N57" s="28"/>
      <c r="O57" s="32">
        <f>IF(DAY(DecSun1)=1,DecSun1+7,DecSun1+14)</f>
        <v>41987</v>
      </c>
      <c r="P57" s="33">
        <f>IF(DAY(DecSun1)=1,DecSun1+8,DecSun1+15)</f>
        <v>41988</v>
      </c>
      <c r="Q57" s="33">
        <f>IF(DAY(DecSun1)=1,DecSun1+9,DecSun1+16)</f>
        <v>41989</v>
      </c>
      <c r="R57" s="33">
        <f>IF(DAY(DecSun1)=1,DecSun1+10,DecSun1+17)</f>
        <v>41990</v>
      </c>
      <c r="S57" s="33">
        <f>IF(DAY(DecSun1)=1,DecSun1+11,DecSun1+18)</f>
        <v>41991</v>
      </c>
      <c r="T57" s="33">
        <f>IF(DAY(DecSun1)=1,DecSun1+12,DecSun1+19)</f>
        <v>41992</v>
      </c>
      <c r="U57" s="34">
        <f>IF(DAY(DecSun1)=1,DecSun1+13,DecSun1+20)</f>
        <v>41993</v>
      </c>
      <c r="V57" s="28"/>
    </row>
    <row r="58" spans="1:22" s="27" customFormat="1" ht="13.5" customHeight="1">
      <c r="A58" s="3"/>
      <c r="B58" s="28"/>
      <c r="C58" s="28"/>
      <c r="D58" s="32">
        <f>IF(DAY(NovSun1)=1,NovSun1+14,NovSun1+21)</f>
        <v>41959</v>
      </c>
      <c r="E58" s="33">
        <f>IF(DAY(NovSun1)=1,NovSun1+15,NovSun1+22)</f>
        <v>41960</v>
      </c>
      <c r="F58" s="33">
        <f>IF(DAY(NovSun1)=1,NovSun1+16,NovSun1+23)</f>
        <v>41961</v>
      </c>
      <c r="G58" s="33">
        <f>IF(DAY(NovSun1)=1,NovSun1+17,NovSun1+24)</f>
        <v>41962</v>
      </c>
      <c r="H58" s="33">
        <f>IF(DAY(NovSun1)=1,NovSun1+18,NovSun1+25)</f>
        <v>41963</v>
      </c>
      <c r="I58" s="33">
        <f>IF(DAY(NovSun1)=1,NovSun1+19,NovSun1+26)</f>
        <v>41964</v>
      </c>
      <c r="J58" s="34">
        <f>IF(DAY(NovSun1)=1,NovSun1+20,NovSun1+27)</f>
        <v>41965</v>
      </c>
      <c r="K58" s="28"/>
      <c r="L58" s="42"/>
      <c r="M58" s="28"/>
      <c r="N58" s="28"/>
      <c r="O58" s="32">
        <f>IF(DAY(DecSun1)=1,DecSun1+14,DecSun1+21)</f>
        <v>41994</v>
      </c>
      <c r="P58" s="33">
        <f>IF(DAY(DecSun1)=1,DecSun1+15,DecSun1+22)</f>
        <v>41995</v>
      </c>
      <c r="Q58" s="33">
        <f>IF(DAY(DecSun1)=1,DecSun1+16,DecSun1+23)</f>
        <v>41996</v>
      </c>
      <c r="R58" s="33">
        <f>IF(DAY(DecSun1)=1,DecSun1+17,DecSun1+24)</f>
        <v>41997</v>
      </c>
      <c r="S58" s="33">
        <f>IF(DAY(DecSun1)=1,DecSun1+18,DecSun1+25)</f>
        <v>41998</v>
      </c>
      <c r="T58" s="33">
        <f>IF(DAY(DecSun1)=1,DecSun1+19,DecSun1+26)</f>
        <v>41999</v>
      </c>
      <c r="U58" s="34">
        <f>IF(DAY(DecSun1)=1,DecSun1+20,DecSun1+27)</f>
        <v>42000</v>
      </c>
      <c r="V58" s="28"/>
    </row>
    <row r="59" spans="1:22" ht="13.5" customHeight="1">
      <c r="A59" s="3"/>
      <c r="B59" s="28"/>
      <c r="C59" s="28"/>
      <c r="D59" s="32">
        <f>IF(DAY(NovSun1)=1,NovSun1+21,NovSun1+28)</f>
        <v>41966</v>
      </c>
      <c r="E59" s="33">
        <f>IF(DAY(NovSun1)=1,NovSun1+22,NovSun1+29)</f>
        <v>41967</v>
      </c>
      <c r="F59" s="33">
        <f>IF(DAY(NovSun1)=1,NovSun1+23,NovSun1+30)</f>
        <v>41968</v>
      </c>
      <c r="G59" s="33">
        <f>IF(DAY(NovSun1)=1,NovSun1+24,NovSun1+31)</f>
        <v>41969</v>
      </c>
      <c r="H59" s="33">
        <f>IF(DAY(NovSun1)=1,NovSun1+25,NovSun1+32)</f>
        <v>41970</v>
      </c>
      <c r="I59" s="33">
        <f>IF(DAY(NovSun1)=1,NovSun1+26,NovSun1+33)</f>
        <v>41971</v>
      </c>
      <c r="J59" s="34">
        <f>IF(DAY(NovSun1)=1,NovSun1+27,NovSun1+34)</f>
        <v>41972</v>
      </c>
      <c r="K59" s="28"/>
      <c r="L59" s="42"/>
      <c r="M59" s="28"/>
      <c r="N59" s="28"/>
      <c r="O59" s="32">
        <f>IF(DAY(DecSun1)=1,DecSun1+21,DecSun1+28)</f>
        <v>42001</v>
      </c>
      <c r="P59" s="33">
        <f>IF(DAY(DecSun1)=1,DecSun1+22,DecSun1+29)</f>
        <v>42002</v>
      </c>
      <c r="Q59" s="33">
        <f>IF(DAY(DecSun1)=1,DecSun1+23,DecSun1+30)</f>
        <v>42003</v>
      </c>
      <c r="R59" s="33">
        <f>IF(DAY(DecSun1)=1,DecSun1+24,DecSun1+31)</f>
        <v>42004</v>
      </c>
      <c r="S59" s="33">
        <f>IF(DAY(DecSun1)=1,DecSun1+25,DecSun1+32)</f>
        <v>42005</v>
      </c>
      <c r="T59" s="33">
        <f>IF(DAY(DecSun1)=1,DecSun1+26,DecSun1+33)</f>
        <v>42006</v>
      </c>
      <c r="U59" s="34">
        <f>IF(DAY(DecSun1)=1,DecSun1+27,DecSun1+34)</f>
        <v>42007</v>
      </c>
      <c r="V59" s="28"/>
    </row>
    <row r="60" spans="1:22" ht="13.5" customHeight="1">
      <c r="A60" s="3"/>
      <c r="B60" s="28"/>
      <c r="C60" s="28"/>
      <c r="D60" s="32">
        <f>IF(DAY(NovSun1)=1,NovSun1+28,NovSun1+35)</f>
        <v>41973</v>
      </c>
      <c r="E60" s="33">
        <f>IF(DAY(NovSun1)=1,NovSun1+29,NovSun1+36)</f>
        <v>41974</v>
      </c>
      <c r="F60" s="33">
        <f>IF(DAY(NovSun1)=1,NovSun1+30,NovSun1+37)</f>
        <v>41975</v>
      </c>
      <c r="G60" s="33">
        <f>IF(DAY(NovSun1)=1,NovSun1+31,NovSun1+38)</f>
        <v>41976</v>
      </c>
      <c r="H60" s="33">
        <f>IF(DAY(NovSun1)=1,NovSun1+32,NovSun1+39)</f>
        <v>41977</v>
      </c>
      <c r="I60" s="33">
        <f>IF(DAY(NovSun1)=1,NovSun1+33,NovSun1+40)</f>
        <v>41978</v>
      </c>
      <c r="J60" s="34">
        <f>IF(DAY(NovSun1)=1,NovSun1+34,NovSun1+41)</f>
        <v>41979</v>
      </c>
      <c r="K60" s="28"/>
      <c r="L60" s="42"/>
      <c r="M60" s="28"/>
      <c r="N60" s="28"/>
      <c r="O60" s="32">
        <f>IF(DAY(DecSun1)=1,DecSun1+28,DecSun1+35)</f>
        <v>42008</v>
      </c>
      <c r="P60" s="33">
        <f>IF(DAY(DecSun1)=1,DecSun1+29,DecSun1+36)</f>
        <v>42009</v>
      </c>
      <c r="Q60" s="33">
        <f>IF(DAY(DecSun1)=1,DecSun1+30,DecSun1+37)</f>
        <v>42010</v>
      </c>
      <c r="R60" s="33">
        <f>IF(DAY(DecSun1)=1,DecSun1+31,DecSun1+38)</f>
        <v>42011</v>
      </c>
      <c r="S60" s="33">
        <f>IF(DAY(DecSun1)=1,DecSun1+32,DecSun1+39)</f>
        <v>42012</v>
      </c>
      <c r="T60" s="33">
        <f>IF(DAY(DecSun1)=1,DecSun1+33,DecSun1+40)</f>
        <v>42013</v>
      </c>
      <c r="U60" s="34">
        <f>IF(DAY(DecSun1)=1,DecSun1+34,DecSun1+41)</f>
        <v>42014</v>
      </c>
      <c r="V60" s="28"/>
    </row>
    <row r="61" spans="1:22" ht="7.5" customHeight="1">
      <c r="A61" s="3"/>
      <c r="B61" s="28"/>
      <c r="C61" s="28"/>
      <c r="D61" s="37"/>
      <c r="E61" s="37"/>
      <c r="F61" s="37"/>
      <c r="G61" s="37"/>
      <c r="H61" s="37"/>
      <c r="I61" s="37"/>
      <c r="J61" s="37"/>
      <c r="K61" s="28"/>
      <c r="L61" s="42"/>
      <c r="M61" s="28"/>
      <c r="N61" s="28"/>
      <c r="O61" s="37"/>
      <c r="P61" s="37"/>
      <c r="Q61" s="37"/>
      <c r="R61" s="37"/>
      <c r="S61" s="37"/>
      <c r="T61" s="37"/>
      <c r="U61" s="37"/>
      <c r="V61" s="28"/>
    </row>
    <row r="62" spans="1:22" ht="18.75" customHeight="1">
      <c r="A62" s="3"/>
      <c r="B62" s="1"/>
      <c r="C62" s="1"/>
      <c r="D62" s="1"/>
      <c r="E62" s="2"/>
      <c r="F62" s="2"/>
      <c r="G62" s="2"/>
      <c r="H62" s="4"/>
      <c r="I62" s="4"/>
      <c r="J62" s="4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</row>
    <row r="63" spans="1:22" s="11" customFormat="1" ht="27" customHeight="1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 s="13"/>
      <c r="U63" s="12"/>
      <c r="V63" s="12"/>
    </row>
    <row r="64" spans="1:22" s="6" customFormat="1" ht="24" customHeight="1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 s="7"/>
      <c r="U64" s="8"/>
      <c r="V64" s="7"/>
    </row>
    <row r="65" spans="1:16" s="7" customFormat="1" ht="25.5" customHeight="1">
      <c r="A65" s="6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1:16" s="7" customFormat="1" ht="29.25" customHeight="1">
      <c r="A66" s="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s="7" customFormat="1" ht="24.75" customHeight="1">
      <c r="A67" s="6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s="7" customFormat="1" ht="26.25" customHeight="1">
      <c r="A68" s="6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s="7" customFormat="1" ht="24" customHeight="1">
      <c r="A69" s="6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ht="15.75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ht="15.75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</row>
  </sheetData>
  <mergeCells count="14">
    <mergeCell ref="A2:G2"/>
    <mergeCell ref="Q2:U2"/>
    <mergeCell ref="B3:B11"/>
    <mergeCell ref="L3:L61"/>
    <mergeCell ref="B12:K12"/>
    <mergeCell ref="M12:V12"/>
    <mergeCell ref="B22:K22"/>
    <mergeCell ref="M22:V22"/>
    <mergeCell ref="B32:K32"/>
    <mergeCell ref="M32:V32"/>
    <mergeCell ref="B42:K42"/>
    <mergeCell ref="M42:V42"/>
    <mergeCell ref="B52:K52"/>
    <mergeCell ref="M52:V52"/>
  </mergeCells>
  <phoneticPr fontId="13" type="noConversion"/>
  <conditionalFormatting sqref="O55:U60 D55:J60 O45:U50 D45:J50 O35:U40 D35:J40 O25:U30 D25:J28 D30:J30 O15:U20 D15:J20 O5:U10 D5:J10">
    <cfRule type="expression" dxfId="53" priority="188">
      <formula>COUNTIF(祝祭日,D5)</formula>
    </cfRule>
  </conditionalFormatting>
  <conditionalFormatting sqref="U10">
    <cfRule type="expression" dxfId="52" priority="530">
      <formula>COUNTIF(祝祭日,O5)</formula>
    </cfRule>
  </conditionalFormatting>
  <conditionalFormatting sqref="D40:J40 O30:U30 O20:U20 U6:U9 O6:T10">
    <cfRule type="expression" dxfId="51" priority="2243">
      <formula>COUNTIF(祝祭日,#REF!)</formula>
    </cfRule>
  </conditionalFormatting>
  <conditionalFormatting sqref="D5:J5">
    <cfRule type="expression" dxfId="50" priority="24">
      <formula>DAY(D5)&gt;8</formula>
    </cfRule>
  </conditionalFormatting>
  <conditionalFormatting sqref="D9:J10">
    <cfRule type="expression" dxfId="49" priority="23">
      <formula>AND(DAY(D9)&gt;=1,DAY(D9)&lt;=15)</formula>
    </cfRule>
  </conditionalFormatting>
  <conditionalFormatting sqref="O9:U10">
    <cfRule type="expression" dxfId="48" priority="22">
      <formula>AND(DAY(O9)&gt;=1,DAY(O9)&lt;=15)</formula>
    </cfRule>
  </conditionalFormatting>
  <conditionalFormatting sqref="D19:J20">
    <cfRule type="expression" dxfId="47" priority="21">
      <formula>AND(DAY(D19)&gt;=1,DAY(D19)&lt;=15)</formula>
    </cfRule>
  </conditionalFormatting>
  <conditionalFormatting sqref="O19:U20">
    <cfRule type="expression" dxfId="46" priority="20">
      <formula>AND(DAY(O19)&gt;=1,DAY(O19)&lt;=15)</formula>
    </cfRule>
  </conditionalFormatting>
  <conditionalFormatting sqref="D29:J30">
    <cfRule type="expression" dxfId="45" priority="19">
      <formula>AND(DAY(D29)&gt;=1,DAY(D29)&lt;=15)</formula>
    </cfRule>
  </conditionalFormatting>
  <conditionalFormatting sqref="O29:U30">
    <cfRule type="expression" dxfId="44" priority="18">
      <formula>AND(DAY(O29)&gt;=1,DAY(O29)&lt;=15)</formula>
    </cfRule>
  </conditionalFormatting>
  <conditionalFormatting sqref="D39:J40">
    <cfRule type="expression" dxfId="43" priority="17">
      <formula>AND(DAY(D39)&gt;=1,DAY(D39)&lt;=15)</formula>
    </cfRule>
  </conditionalFormatting>
  <conditionalFormatting sqref="O39:U40">
    <cfRule type="expression" dxfId="42" priority="16">
      <formula>AND(DAY(O39)&gt;=1,DAY(O39)&lt;=15)</formula>
    </cfRule>
  </conditionalFormatting>
  <conditionalFormatting sqref="D49:J50">
    <cfRule type="expression" dxfId="41" priority="15">
      <formula>AND(DAY(D49)&gt;=1,DAY(D49)&lt;=15)</formula>
    </cfRule>
  </conditionalFormatting>
  <conditionalFormatting sqref="O49:U50">
    <cfRule type="expression" dxfId="40" priority="14">
      <formula>AND(DAY(O49)&gt;=1,DAY(O49)&lt;=15)</formula>
    </cfRule>
  </conditionalFormatting>
  <conditionalFormatting sqref="D59:J60">
    <cfRule type="expression" dxfId="39" priority="13">
      <formula>AND(DAY(D59)&gt;=1,DAY(D59)&lt;=15)</formula>
    </cfRule>
  </conditionalFormatting>
  <conditionalFormatting sqref="O59:U60">
    <cfRule type="expression" dxfId="27" priority="12">
      <formula>AND(DAY(O59)&gt;=1,DAY(O59)&lt;=15)</formula>
    </cfRule>
  </conditionalFormatting>
  <conditionalFormatting sqref="O5:U5">
    <cfRule type="expression" dxfId="38" priority="11">
      <formula>DAY(O5)&gt;8</formula>
    </cfRule>
  </conditionalFormatting>
  <conditionalFormatting sqref="D15:J15">
    <cfRule type="expression" dxfId="37" priority="10">
      <formula>DAY(D15)&gt;8</formula>
    </cfRule>
  </conditionalFormatting>
  <conditionalFormatting sqref="O15:U15">
    <cfRule type="expression" dxfId="36" priority="9">
      <formula>DAY(O15)&gt;8</formula>
    </cfRule>
  </conditionalFormatting>
  <conditionalFormatting sqref="D25:J25">
    <cfRule type="expression" dxfId="35" priority="8">
      <formula>DAY(D25)&gt;8</formula>
    </cfRule>
  </conditionalFormatting>
  <conditionalFormatting sqref="O25:U25">
    <cfRule type="expression" dxfId="34" priority="7">
      <formula>DAY(O25)&gt;8</formula>
    </cfRule>
  </conditionalFormatting>
  <conditionalFormatting sqref="D35:J35">
    <cfRule type="expression" dxfId="33" priority="6">
      <formula>DAY(D35)&gt;8</formula>
    </cfRule>
  </conditionalFormatting>
  <conditionalFormatting sqref="O35:U35">
    <cfRule type="expression" dxfId="32" priority="5">
      <formula>DAY(O35)&gt;8</formula>
    </cfRule>
  </conditionalFormatting>
  <conditionalFormatting sqref="D45:J45">
    <cfRule type="expression" dxfId="31" priority="4">
      <formula>DAY(D45)&gt;8</formula>
    </cfRule>
  </conditionalFormatting>
  <conditionalFormatting sqref="O45:U45">
    <cfRule type="expression" dxfId="30" priority="3">
      <formula>DAY(O45)&gt;8</formula>
    </cfRule>
  </conditionalFormatting>
  <conditionalFormatting sqref="D55:J55">
    <cfRule type="expression" dxfId="29" priority="2">
      <formula>DAY(D55)&gt;8</formula>
    </cfRule>
  </conditionalFormatting>
  <conditionalFormatting sqref="O55:U55">
    <cfRule type="expression" dxfId="28" priority="1">
      <formula>DAY(O55)&gt;8</formula>
    </cfRule>
  </conditionalFormatting>
  <printOptions horizontalCentered="1" verticalCentered="1"/>
  <pageMargins left="0.19685039370078741" right="0.19685039370078741" top="0.23622047244094491" bottom="0.23622047244094491" header="0" footer="0"/>
  <pageSetup scale="88" fitToHeight="12" orientation="portrait" r:id="rId1"/>
  <headerFooter scaleWithDoc="0" alignWithMargins="0"/>
  <customProperties>
    <customPr name="SheetChanged" r:id="rId2"/>
  </customPropertie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C26"/>
  <sheetViews>
    <sheetView workbookViewId="0">
      <selection activeCell="C26" sqref="C26"/>
    </sheetView>
  </sheetViews>
  <sheetFormatPr defaultRowHeight="15.75"/>
  <cols>
    <col min="1" max="1" width="12.6640625" customWidth="1"/>
    <col min="2" max="2" width="10.44140625" customWidth="1"/>
    <col min="3" max="3" width="11.44140625" customWidth="1"/>
  </cols>
  <sheetData>
    <row r="1" spans="1:3" ht="22.5" customHeight="1">
      <c r="B1" s="14" t="s">
        <v>1</v>
      </c>
      <c r="C1" s="14"/>
    </row>
    <row r="2" spans="1:3" ht="17.25">
      <c r="B2" s="15">
        <f>CalendarYear</f>
        <v>2014</v>
      </c>
      <c r="C2" s="15" t="s">
        <v>2</v>
      </c>
    </row>
    <row r="3" spans="1:3">
      <c r="A3" s="22"/>
      <c r="B3" s="16">
        <f>DATE(B2,1,1)</f>
        <v>41640</v>
      </c>
      <c r="C3" s="17" t="s">
        <v>3</v>
      </c>
    </row>
    <row r="4" spans="1:3">
      <c r="A4" s="22"/>
      <c r="B4" s="18" t="str">
        <f>IF(WEEKDAY(B3)=1,B3+1,"")</f>
        <v/>
      </c>
      <c r="C4" s="19" t="s">
        <v>4</v>
      </c>
    </row>
    <row r="5" spans="1:3">
      <c r="A5" s="22" t="s">
        <v>20</v>
      </c>
      <c r="B5" s="24">
        <f>DATE(B2,1,14)-WEEKDAY(DATE(B2,1,14),3)</f>
        <v>41652</v>
      </c>
      <c r="C5" s="20" t="s">
        <v>5</v>
      </c>
    </row>
    <row r="6" spans="1:3">
      <c r="A6" s="22"/>
      <c r="B6" s="23">
        <f>DATE(B2,2,11)</f>
        <v>41681</v>
      </c>
      <c r="C6" s="20" t="s">
        <v>6</v>
      </c>
    </row>
    <row r="7" spans="1:3">
      <c r="A7" s="22"/>
      <c r="B7" s="24" t="str">
        <f>IF(WEEKDAY(B6)=1,B6+1,"")</f>
        <v/>
      </c>
      <c r="C7" s="19" t="s">
        <v>4</v>
      </c>
    </row>
    <row r="8" spans="1:3">
      <c r="A8" s="22" t="s">
        <v>21</v>
      </c>
      <c r="B8" s="24">
        <f>(DATE(B2,3,INT(20.69115+0.242194*(B2-2000)-INT((B2-2000)/4))))</f>
        <v>41719</v>
      </c>
      <c r="C8" s="20" t="s">
        <v>7</v>
      </c>
    </row>
    <row r="9" spans="1:3">
      <c r="A9" s="22"/>
      <c r="B9" s="24" t="str">
        <f>IF(WEEKDAY(B8)=1,B8+1,"")</f>
        <v/>
      </c>
      <c r="C9" s="19" t="s">
        <v>4</v>
      </c>
    </row>
    <row r="10" spans="1:3">
      <c r="A10" s="22"/>
      <c r="B10" s="24">
        <f>DATE(B2,4,29)</f>
        <v>41758</v>
      </c>
      <c r="C10" s="20" t="s">
        <v>8</v>
      </c>
    </row>
    <row r="11" spans="1:3">
      <c r="A11" s="22"/>
      <c r="B11" s="24" t="str">
        <f>IF(WEEKDAY(B10)=1,B10+1,"")</f>
        <v/>
      </c>
      <c r="C11" s="19" t="s">
        <v>4</v>
      </c>
    </row>
    <row r="12" spans="1:3">
      <c r="A12" s="22"/>
      <c r="B12" s="24">
        <f>DATE(B2,5,3)</f>
        <v>41762</v>
      </c>
      <c r="C12" s="20" t="s">
        <v>9</v>
      </c>
    </row>
    <row r="13" spans="1:3">
      <c r="A13" s="22"/>
      <c r="B13" s="24">
        <f>DATE(B2,5,4)</f>
        <v>41763</v>
      </c>
      <c r="C13" s="20" t="s">
        <v>10</v>
      </c>
    </row>
    <row r="14" spans="1:3">
      <c r="A14" s="22"/>
      <c r="B14" s="24">
        <f>DATE(B2,5,5)</f>
        <v>41764</v>
      </c>
      <c r="C14" s="20" t="s">
        <v>11</v>
      </c>
    </row>
    <row r="15" spans="1:3">
      <c r="A15" s="22"/>
      <c r="B15" s="25">
        <f>IF(OR(WEEKDAY(B12)=1,WEEKDAY(B13)=1,WEEKDAY(B14)=1),B14+1,"")</f>
        <v>41765</v>
      </c>
      <c r="C15" s="19" t="s">
        <v>4</v>
      </c>
    </row>
    <row r="16" spans="1:3">
      <c r="A16" s="22" t="s">
        <v>22</v>
      </c>
      <c r="B16" s="24">
        <f>DATE(B2,7,21)-WEEKDAY(DATE(B2,7,21),3)</f>
        <v>41841</v>
      </c>
      <c r="C16" s="20" t="s">
        <v>12</v>
      </c>
    </row>
    <row r="17" spans="1:3">
      <c r="A17" s="22" t="s">
        <v>23</v>
      </c>
      <c r="B17" s="24">
        <f>DATE(B2,9,21)-WEEKDAY(DATE(B2,9,21),3)</f>
        <v>41897</v>
      </c>
      <c r="C17" s="20" t="s">
        <v>13</v>
      </c>
    </row>
    <row r="18" spans="1:3">
      <c r="A18" s="22"/>
      <c r="B18" s="24" t="str">
        <f>IF(WEEKDAY(B19,3)=2,B19-1,"")</f>
        <v/>
      </c>
      <c r="C18" s="19" t="s">
        <v>14</v>
      </c>
    </row>
    <row r="19" spans="1:3">
      <c r="A19" s="22" t="s">
        <v>24</v>
      </c>
      <c r="B19" s="24">
        <f>(DATE(B2,9,INT(23.09+0.242194*(B2-2000)-INT((B2-2000)/4))))</f>
        <v>41905</v>
      </c>
      <c r="C19" s="20" t="s">
        <v>15</v>
      </c>
    </row>
    <row r="20" spans="1:3">
      <c r="A20" s="22" t="s">
        <v>25</v>
      </c>
      <c r="B20" s="24">
        <f>DATE(B2,10,14)-WEEKDAY(DATE(B2,10,14),3)</f>
        <v>41925</v>
      </c>
      <c r="C20" s="20" t="s">
        <v>16</v>
      </c>
    </row>
    <row r="21" spans="1:3">
      <c r="B21" s="24">
        <f>DATE(B2,11,3)</f>
        <v>41946</v>
      </c>
      <c r="C21" s="20" t="s">
        <v>17</v>
      </c>
    </row>
    <row r="22" spans="1:3">
      <c r="B22" s="24" t="str">
        <f>IF(WEEKDAY(B21)=1,B21+1,"")</f>
        <v/>
      </c>
      <c r="C22" s="19" t="s">
        <v>4</v>
      </c>
    </row>
    <row r="23" spans="1:3">
      <c r="B23" s="24">
        <f>DATE(B2,11,23)</f>
        <v>41966</v>
      </c>
      <c r="C23" s="20" t="s">
        <v>18</v>
      </c>
    </row>
    <row r="24" spans="1:3">
      <c r="B24" s="24">
        <f>IF(WEEKDAY(B23)=1,B23+1,"")</f>
        <v>41967</v>
      </c>
      <c r="C24" s="19" t="s">
        <v>4</v>
      </c>
    </row>
    <row r="25" spans="1:3">
      <c r="B25" s="24">
        <f>DATE(B2,12,23)</f>
        <v>41996</v>
      </c>
      <c r="C25" s="20" t="s">
        <v>19</v>
      </c>
    </row>
    <row r="26" spans="1:3">
      <c r="B26" s="26" t="str">
        <f>IF(WEEKDAY(B25)=1,B25+1,"")</f>
        <v/>
      </c>
      <c r="C26" s="21" t="s">
        <v>4</v>
      </c>
    </row>
  </sheetData>
  <phoneticPr fontId="2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02A8F95-DD79-49FC-9279-594B85084C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花模様年間カレンダ</vt:lpstr>
      <vt:lpstr>祝祭日</vt:lpstr>
      <vt:lpstr>CalendarYear</vt:lpstr>
      <vt:lpstr>花模様年間カレンダ!Print_Area</vt:lpstr>
      <vt:lpstr>祝祭日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2013-12-08T06:21:58Z</dcterms:created>
  <dcterms:modified xsi:type="dcterms:W3CDTF">2014-11-04T05:40:36Z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TC025505749991</vt:lpwstr>
  </property>
</Properties>
</file>